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O UNG DUNG\SUC BEN VAT LIEU\"/>
    </mc:Choice>
  </mc:AlternateContent>
  <bookViews>
    <workbookView xWindow="0" yWindow="0" windowWidth="15345" windowHeight="4650" firstSheet="2" activeTab="3"/>
  </bookViews>
  <sheets>
    <sheet name="bo truyen xich" sheetId="8" r:id="rId1"/>
    <sheet name="bo truyen dai" sheetId="2" r:id="rId2"/>
    <sheet name="tinh toan ve bieu do" sheetId="4" r:id="rId3"/>
    <sheet name="SUC BEN VL" sheetId="9" r:id="rId4"/>
    <sheet name="co ly thuyet" sheetId="3" r:id="rId5"/>
    <sheet name="tinh ti so truyen thi" sheetId="6" r:id="rId6"/>
    <sheet name="oto1" sheetId="7" r:id="rId7"/>
    <sheet name="tinh ti so truyen oto2" sheetId="5" r:id="rId8"/>
    <sheet name="Gia tri luc" sheetId="1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9" l="1"/>
  <c r="G18" i="9"/>
  <c r="F18" i="9"/>
  <c r="E18" i="9"/>
  <c r="M11" i="9" l="1"/>
  <c r="N11" i="9" s="1"/>
  <c r="I11" i="9"/>
  <c r="O11" i="9" s="1"/>
  <c r="O7" i="9"/>
  <c r="O8" i="9"/>
  <c r="I7" i="9"/>
  <c r="O6" i="9"/>
  <c r="I8" i="9"/>
  <c r="M8" i="9"/>
  <c r="N8" i="9" s="1"/>
  <c r="G11" i="9"/>
  <c r="E11" i="9"/>
  <c r="G10" i="9"/>
  <c r="E10" i="9"/>
  <c r="G9" i="9"/>
  <c r="E9" i="9"/>
  <c r="G8" i="9"/>
  <c r="E8" i="9"/>
  <c r="E22" i="9" l="1"/>
  <c r="G22" i="9" s="1"/>
  <c r="E17" i="9" l="1"/>
  <c r="F17" i="9" l="1"/>
  <c r="G17" i="9" s="1"/>
  <c r="H17" i="9" s="1"/>
  <c r="J17" i="9" s="1"/>
  <c r="M16" i="9"/>
  <c r="N16" i="9" s="1"/>
  <c r="E16" i="9"/>
  <c r="F16" i="9" s="1"/>
  <c r="G16" i="9" s="1"/>
  <c r="H16" i="9" s="1"/>
  <c r="J16" i="9" s="1"/>
  <c r="G21" i="9"/>
  <c r="E21" i="9"/>
  <c r="E20" i="9"/>
  <c r="G20" i="9" s="1"/>
  <c r="E19" i="9"/>
  <c r="G19" i="9" s="1"/>
  <c r="O16" i="9" l="1"/>
  <c r="M15" i="9"/>
  <c r="M7" i="9" l="1"/>
  <c r="N7" i="9" s="1"/>
  <c r="E7" i="9"/>
  <c r="G7" i="9" s="1"/>
  <c r="I6" i="9"/>
  <c r="M6" i="9"/>
  <c r="N6" i="9" s="1"/>
  <c r="E15" i="9" l="1"/>
  <c r="F15" i="9" s="1"/>
  <c r="G15" i="9" s="1"/>
  <c r="H15" i="9" l="1"/>
  <c r="J15" i="9" s="1"/>
  <c r="N15" i="9"/>
  <c r="O15" i="9" s="1"/>
  <c r="E6" i="9"/>
  <c r="G6" i="9" s="1"/>
  <c r="I11" i="8" l="1"/>
  <c r="J11" i="8" s="1"/>
  <c r="C11" i="8"/>
  <c r="R11" i="8" s="1"/>
  <c r="K11" i="8" l="1"/>
  <c r="L11" i="8"/>
  <c r="N11" i="8"/>
  <c r="D11" i="8"/>
  <c r="F11" i="8" s="1"/>
  <c r="V10" i="8"/>
  <c r="T10" i="8"/>
  <c r="V9" i="8"/>
  <c r="T9" i="8" s="1"/>
  <c r="O10" i="8"/>
  <c r="P10" i="8" s="1"/>
  <c r="N10" i="8"/>
  <c r="M10" i="8"/>
  <c r="L10" i="8"/>
  <c r="O9" i="8"/>
  <c r="P9" i="8" s="1"/>
  <c r="N9" i="8"/>
  <c r="M9" i="8"/>
  <c r="L9" i="8"/>
  <c r="I10" i="8"/>
  <c r="C10" i="8"/>
  <c r="D10" i="8" s="1"/>
  <c r="F10" i="8" s="1"/>
  <c r="I9" i="8"/>
  <c r="C9" i="8"/>
  <c r="D9" i="8" s="1"/>
  <c r="F9" i="8" s="1"/>
  <c r="I8" i="8"/>
  <c r="J8" i="8" s="1"/>
  <c r="K8" i="8" s="1"/>
  <c r="D8" i="8"/>
  <c r="F8" i="8" s="1"/>
  <c r="C8" i="8"/>
  <c r="S11" i="8" l="1"/>
  <c r="R9" i="8"/>
  <c r="R10" i="8"/>
  <c r="S10" i="8" s="1"/>
  <c r="S9" i="8"/>
  <c r="O11" i="8"/>
  <c r="P11" i="8" s="1"/>
  <c r="M11" i="8"/>
  <c r="V11" i="8"/>
  <c r="T11" i="8" s="1"/>
  <c r="I7" i="8" l="1"/>
  <c r="J7" i="8" s="1"/>
  <c r="C7" i="8"/>
  <c r="D7" i="8" s="1"/>
  <c r="F7" i="8" s="1"/>
  <c r="C6" i="8"/>
  <c r="D6" i="8" s="1"/>
  <c r="F6" i="8" s="1"/>
  <c r="R6" i="8"/>
  <c r="I6" i="8"/>
  <c r="J6" i="8" s="1"/>
  <c r="L6" i="8" s="1"/>
  <c r="K7" i="8" l="1"/>
  <c r="M7" i="8" s="1"/>
  <c r="L7" i="8"/>
  <c r="R7" i="8"/>
  <c r="K6" i="8"/>
  <c r="O6" i="8" l="1"/>
  <c r="P6" i="8" s="1"/>
  <c r="M6" i="8"/>
  <c r="V6" i="8"/>
  <c r="T6" i="8" s="1"/>
  <c r="O7" i="8"/>
  <c r="P7" i="8" s="1"/>
  <c r="V7" i="8"/>
  <c r="T7" i="8" s="1"/>
  <c r="N7" i="8"/>
  <c r="N6" i="8"/>
  <c r="S6" i="8" s="1"/>
  <c r="Q15" i="6"/>
  <c r="N15" i="6"/>
  <c r="K15" i="6"/>
  <c r="H15" i="6"/>
  <c r="R15" i="6" s="1"/>
  <c r="E15" i="6"/>
  <c r="N13" i="6"/>
  <c r="S7" i="8" l="1"/>
  <c r="K13" i="7"/>
  <c r="M13" i="7" s="1"/>
  <c r="N12" i="7"/>
  <c r="O12" i="7" s="1"/>
  <c r="N10" i="7"/>
  <c r="O10" i="7" s="1"/>
  <c r="K9" i="7"/>
  <c r="M9" i="7" s="1"/>
  <c r="K13" i="5"/>
  <c r="M13" i="5" s="1"/>
  <c r="N12" i="5" l="1"/>
  <c r="O12" i="5" s="1"/>
  <c r="K9" i="5"/>
  <c r="M9" i="5" s="1"/>
  <c r="N10" i="5"/>
  <c r="O10" i="5" s="1"/>
  <c r="K13" i="6" l="1"/>
  <c r="H13" i="6"/>
  <c r="E13" i="6"/>
  <c r="O13" i="6" s="1"/>
  <c r="Q13" i="6" s="1"/>
  <c r="H6" i="6" l="1"/>
  <c r="I6" i="6" s="1"/>
  <c r="K6" i="6" s="1"/>
  <c r="E6" i="6"/>
  <c r="T10" i="1" l="1"/>
  <c r="T9" i="1"/>
  <c r="T8" i="1"/>
  <c r="R10" i="1"/>
  <c r="Q10" i="1"/>
  <c r="R9" i="1"/>
  <c r="Q9" i="1"/>
  <c r="R8" i="1"/>
  <c r="Q8" i="1"/>
  <c r="G12" i="4" l="1"/>
  <c r="I12" i="4" s="1"/>
  <c r="Q12" i="4" s="1"/>
  <c r="R12" i="4" s="1"/>
  <c r="N11" i="4"/>
  <c r="M11" i="4"/>
  <c r="L11" i="4"/>
  <c r="K11" i="4"/>
  <c r="N8" i="4"/>
  <c r="M8" i="4"/>
  <c r="L8" i="4"/>
  <c r="K8" i="4"/>
  <c r="O8" i="4" s="1"/>
  <c r="M7" i="4"/>
  <c r="L7" i="4"/>
  <c r="K7" i="4"/>
  <c r="O11" i="4" l="1"/>
  <c r="H11" i="4" s="1"/>
  <c r="J11" i="4" s="1"/>
  <c r="Q11" i="4" s="1"/>
  <c r="R11" i="4" s="1"/>
  <c r="S11" i="4" s="1"/>
  <c r="O7" i="4"/>
  <c r="N7" i="4"/>
  <c r="N8" i="3"/>
  <c r="T8" i="3"/>
  <c r="S8" i="3"/>
  <c r="R8" i="3" s="1"/>
  <c r="U8" i="3" s="1"/>
  <c r="L8" i="3"/>
  <c r="Q8" i="3"/>
  <c r="L7" i="3"/>
  <c r="M7" i="3"/>
  <c r="V8" i="3" l="1"/>
  <c r="P8" i="3"/>
  <c r="G8" i="4"/>
  <c r="I8" i="4" s="1"/>
  <c r="H7" i="4"/>
  <c r="J7" i="4" s="1"/>
  <c r="E7" i="3"/>
  <c r="N7" i="3" s="1"/>
  <c r="K7" i="3"/>
  <c r="P6" i="3"/>
  <c r="N6" i="3"/>
  <c r="O6" i="3"/>
  <c r="M6" i="3"/>
  <c r="L6" i="3"/>
  <c r="K6" i="3"/>
  <c r="O7" i="3" l="1"/>
  <c r="P7" i="3" s="1"/>
  <c r="C12" i="1"/>
  <c r="I12" i="1" s="1"/>
  <c r="K12" i="1" l="1"/>
  <c r="J12" i="1"/>
  <c r="U7" i="2"/>
  <c r="N7" i="2"/>
  <c r="U10" i="2"/>
  <c r="P10" i="2"/>
  <c r="Q10" i="2" s="1"/>
  <c r="O10" i="2"/>
  <c r="T10" i="2" s="1"/>
  <c r="X10" i="2" s="1"/>
  <c r="P7" i="2"/>
  <c r="Q7" i="2" s="1"/>
  <c r="O7" i="2"/>
  <c r="T7" i="2" s="1"/>
  <c r="N10" i="2"/>
  <c r="R10" i="2" s="1"/>
  <c r="L10" i="2"/>
  <c r="M10" i="2" s="1"/>
  <c r="J10" i="2"/>
  <c r="H10" i="2"/>
  <c r="V10" i="2" l="1"/>
  <c r="Y10" i="2"/>
  <c r="X7" i="2"/>
  <c r="V7" i="2"/>
  <c r="R7" i="2"/>
  <c r="U9" i="2"/>
  <c r="P9" i="2"/>
  <c r="Q9" i="2" s="1"/>
  <c r="O9" i="2"/>
  <c r="T9" i="2" s="1"/>
  <c r="N9" i="2"/>
  <c r="L9" i="2"/>
  <c r="M9" i="2" s="1"/>
  <c r="J9" i="2"/>
  <c r="H9" i="2"/>
  <c r="F9" i="2"/>
  <c r="U8" i="2"/>
  <c r="T8" i="2"/>
  <c r="V8" i="2" s="1"/>
  <c r="P8" i="2"/>
  <c r="O8" i="2"/>
  <c r="N8" i="2"/>
  <c r="M8" i="2"/>
  <c r="L8" i="2"/>
  <c r="J8" i="2"/>
  <c r="H8" i="2"/>
  <c r="F8" i="2"/>
  <c r="J7" i="2"/>
  <c r="L7" i="2"/>
  <c r="M7" i="2" s="1"/>
  <c r="H7" i="2"/>
  <c r="F7" i="2"/>
  <c r="T6" i="2"/>
  <c r="V6" i="2" s="1"/>
  <c r="U6" i="2"/>
  <c r="P6" i="2"/>
  <c r="O6" i="2"/>
  <c r="N6" i="2"/>
  <c r="L6" i="2"/>
  <c r="M6" i="2" s="1"/>
  <c r="V9" i="2" l="1"/>
  <c r="X9" i="2"/>
  <c r="Y9" i="2" s="1"/>
  <c r="Q8" i="2"/>
  <c r="R8" i="2" s="1"/>
  <c r="X8" i="2"/>
  <c r="Y8" i="2" s="1"/>
  <c r="Q6" i="2"/>
  <c r="R6" i="2" s="1"/>
  <c r="R9" i="2"/>
  <c r="Y7" i="2"/>
  <c r="X6" i="2"/>
  <c r="Y6" i="2" s="1"/>
  <c r="J6" i="2"/>
  <c r="H6" i="2"/>
  <c r="F6" i="2"/>
  <c r="C8" i="1"/>
  <c r="I8" i="1" s="1"/>
  <c r="C10" i="1"/>
  <c r="I10" i="1" s="1"/>
  <c r="J10" i="1" s="1"/>
  <c r="K8" i="1" l="1"/>
  <c r="J8" i="1"/>
  <c r="K10" i="1"/>
</calcChain>
</file>

<file path=xl/sharedStrings.xml><?xml version="1.0" encoding="utf-8"?>
<sst xmlns="http://schemas.openxmlformats.org/spreadsheetml/2006/main" count="253" uniqueCount="163">
  <si>
    <t>T</t>
  </si>
  <si>
    <r>
      <rPr>
        <sz val="14"/>
        <color theme="1"/>
        <rFont val="Times New Roman"/>
        <family val="1"/>
      </rPr>
      <t>m</t>
    </r>
    <r>
      <rPr>
        <sz val="12"/>
        <color theme="1"/>
        <rFont val="Times New Roman"/>
        <family val="1"/>
      </rPr>
      <t>n</t>
    </r>
  </si>
  <si>
    <t>Z</t>
  </si>
  <si>
    <t>STT</t>
  </si>
  <si>
    <r>
      <t>cos</t>
    </r>
    <r>
      <rPr>
        <sz val="12"/>
        <color theme="1"/>
        <rFont val="Symbol"/>
        <family val="1"/>
        <charset val="2"/>
      </rPr>
      <t>b</t>
    </r>
  </si>
  <si>
    <t>Ft</t>
  </si>
  <si>
    <t>Hs</t>
  </si>
  <si>
    <t>Fa</t>
  </si>
  <si>
    <t>Fr</t>
  </si>
  <si>
    <r>
      <t>tan</t>
    </r>
    <r>
      <rPr>
        <sz val="12"/>
        <color theme="1"/>
        <rFont val="Symbol"/>
        <family val="1"/>
        <charset val="2"/>
      </rPr>
      <t>a</t>
    </r>
  </si>
  <si>
    <r>
      <t>tan</t>
    </r>
    <r>
      <rPr>
        <sz val="12"/>
        <color theme="1"/>
        <rFont val="Symbol"/>
        <family val="1"/>
        <charset val="2"/>
      </rPr>
      <t>b</t>
    </r>
  </si>
  <si>
    <t>BẢNG GIÁ TRỊ LỰC TÁC DỤNG CỦA BÁNH RĂNG ĂN KHỚP</t>
  </si>
  <si>
    <t>dmin</t>
  </si>
  <si>
    <t>d1</t>
  </si>
  <si>
    <t>v</t>
  </si>
  <si>
    <t>d2</t>
  </si>
  <si>
    <t>u</t>
  </si>
  <si>
    <r>
      <t>D</t>
    </r>
    <r>
      <rPr>
        <sz val="12"/>
        <color theme="1"/>
        <rFont val="Times New Roman"/>
        <family val="1"/>
      </rPr>
      <t>u</t>
    </r>
  </si>
  <si>
    <t>a</t>
  </si>
  <si>
    <t>L</t>
  </si>
  <si>
    <t>k</t>
  </si>
  <si>
    <t>D</t>
  </si>
  <si>
    <t>att</t>
  </si>
  <si>
    <r>
      <t>D</t>
    </r>
    <r>
      <rPr>
        <sz val="12"/>
        <color theme="1"/>
        <rFont val="Times New Roman"/>
        <family val="1"/>
      </rPr>
      <t>a</t>
    </r>
  </si>
  <si>
    <t>d1tc</t>
  </si>
  <si>
    <t>n1</t>
  </si>
  <si>
    <t>P</t>
  </si>
  <si>
    <t>d2tc</t>
  </si>
  <si>
    <t>d2/d1</t>
  </si>
  <si>
    <t>(d2-d1)^2/4a</t>
  </si>
  <si>
    <t>(d2-d1)^2</t>
  </si>
  <si>
    <r>
      <t>(d2+d1)</t>
    </r>
    <r>
      <rPr>
        <sz val="10"/>
        <color theme="1"/>
        <rFont val="Symbol"/>
        <family val="1"/>
        <charset val="2"/>
      </rPr>
      <t>p/2</t>
    </r>
  </si>
  <si>
    <r>
      <t>(k</t>
    </r>
    <r>
      <rPr>
        <sz val="12"/>
        <color theme="1"/>
        <rFont val="Times New Roman"/>
        <family val="1"/>
      </rPr>
      <t>^</t>
    </r>
    <r>
      <rPr>
        <sz val="12"/>
        <color theme="1"/>
        <rFont val="Symbol"/>
        <family val="1"/>
        <charset val="2"/>
      </rPr>
      <t>2-8D</t>
    </r>
    <r>
      <rPr>
        <sz val="12"/>
        <color theme="1"/>
        <rFont val="Times New Roman"/>
        <family val="1"/>
      </rPr>
      <t>^</t>
    </r>
    <r>
      <rPr>
        <sz val="12"/>
        <color theme="1"/>
        <rFont val="Symbol"/>
        <family val="1"/>
        <charset val="2"/>
      </rPr>
      <t>2)</t>
    </r>
  </si>
  <si>
    <t>Ltc</t>
  </si>
  <si>
    <t>B</t>
  </si>
  <si>
    <t>Đai</t>
  </si>
  <si>
    <t>chon</t>
  </si>
  <si>
    <t>bam may</t>
  </si>
  <si>
    <t>BẢNG THÔNG SỐ HÌNH HỌC CỦA BỘ TRUYỀN ĐAI</t>
  </si>
  <si>
    <t>A</t>
  </si>
  <si>
    <t>BẢNG GIÁ TRỊ  cac phan luc trong co ly thuyet</t>
  </si>
  <si>
    <t>T1</t>
  </si>
  <si>
    <t>T2</t>
  </si>
  <si>
    <t>ZA</t>
  </si>
  <si>
    <t>ZC</t>
  </si>
  <si>
    <t>d</t>
  </si>
  <si>
    <t>2a</t>
  </si>
  <si>
    <t>3a</t>
  </si>
  <si>
    <t>T1-T2</t>
  </si>
  <si>
    <t>T1+T2</t>
  </si>
  <si>
    <t>4a</t>
  </si>
  <si>
    <t>ZB</t>
  </si>
  <si>
    <t>(T2-T1)/D/2</t>
  </si>
  <si>
    <t>D/2</t>
  </si>
  <si>
    <t>P.d/2</t>
  </si>
  <si>
    <t>M</t>
  </si>
  <si>
    <r>
      <t>X</t>
    </r>
    <r>
      <rPr>
        <sz val="10"/>
        <color theme="1"/>
        <rFont val="Times New Roman"/>
        <family val="1"/>
      </rPr>
      <t>A</t>
    </r>
  </si>
  <si>
    <r>
      <t>X</t>
    </r>
    <r>
      <rPr>
        <sz val="10"/>
        <color theme="1"/>
        <rFont val="Times New Roman"/>
        <family val="1"/>
      </rPr>
      <t>C</t>
    </r>
  </si>
  <si>
    <t>XB</t>
  </si>
  <si>
    <t xml:space="preserve">TINH TOÁN VE BIEU DO </t>
  </si>
  <si>
    <t>Fr1</t>
  </si>
  <si>
    <t>Fr2</t>
  </si>
  <si>
    <r>
      <t>Ft</t>
    </r>
    <r>
      <rPr>
        <sz val="10"/>
        <color theme="1"/>
        <rFont val="Times New Roman"/>
        <family val="1"/>
      </rPr>
      <t>1</t>
    </r>
  </si>
  <si>
    <t>Ft2</t>
  </si>
  <si>
    <r>
      <rPr>
        <sz val="13"/>
        <color theme="1"/>
        <rFont val="Times New Roman"/>
        <family val="1"/>
      </rPr>
      <t>R</t>
    </r>
    <r>
      <rPr>
        <sz val="10"/>
        <color theme="1"/>
        <rFont val="Times New Roman"/>
        <family val="1"/>
      </rPr>
      <t>BX</t>
    </r>
  </si>
  <si>
    <r>
      <rPr>
        <sz val="13"/>
        <color theme="1"/>
        <rFont val="Times New Roman"/>
        <family val="1"/>
      </rPr>
      <t>R</t>
    </r>
    <r>
      <rPr>
        <sz val="10"/>
        <color theme="1"/>
        <rFont val="Times New Roman"/>
        <family val="1"/>
      </rPr>
      <t>BY</t>
    </r>
  </si>
  <si>
    <r>
      <rPr>
        <sz val="13"/>
        <color theme="1"/>
        <rFont val="Times New Roman"/>
        <family val="1"/>
      </rPr>
      <t>R</t>
    </r>
    <r>
      <rPr>
        <sz val="10"/>
        <color theme="1"/>
        <rFont val="Times New Roman"/>
        <family val="1"/>
      </rPr>
      <t>AX</t>
    </r>
  </si>
  <si>
    <r>
      <rPr>
        <sz val="13"/>
        <color theme="1"/>
        <rFont val="Times New Roman"/>
        <family val="1"/>
      </rPr>
      <t>R</t>
    </r>
    <r>
      <rPr>
        <sz val="10"/>
        <color theme="1"/>
        <rFont val="Times New Roman"/>
        <family val="1"/>
      </rPr>
      <t>AY</t>
    </r>
  </si>
  <si>
    <t>a1</t>
  </si>
  <si>
    <t>a2</t>
  </si>
  <si>
    <t>a3</t>
  </si>
  <si>
    <t>a1+a2</t>
  </si>
  <si>
    <t>a1+a2+a3</t>
  </si>
  <si>
    <t>mp ZY</t>
  </si>
  <si>
    <t>mp ZX</t>
  </si>
  <si>
    <t>Qy</t>
  </si>
  <si>
    <t>C</t>
  </si>
  <si>
    <t>Fx</t>
  </si>
  <si>
    <t>Z2</t>
  </si>
  <si>
    <t>Z2/Z1</t>
  </si>
  <si>
    <t>Z3</t>
  </si>
  <si>
    <t>Z2'</t>
  </si>
  <si>
    <t>Z3/Z2'</t>
  </si>
  <si>
    <t>Z4</t>
  </si>
  <si>
    <t>Z3'</t>
  </si>
  <si>
    <t>Z5</t>
  </si>
  <si>
    <t>Z5/Z4</t>
  </si>
  <si>
    <t>Z1</t>
  </si>
  <si>
    <t>n5</t>
  </si>
  <si>
    <r>
      <t>cos</t>
    </r>
    <r>
      <rPr>
        <sz val="12"/>
        <color theme="1"/>
        <rFont val="Symbol"/>
        <family val="1"/>
        <charset val="2"/>
      </rPr>
      <t>a</t>
    </r>
  </si>
  <si>
    <t xml:space="preserve"> aw</t>
  </si>
  <si>
    <r>
      <rPr>
        <sz val="16"/>
        <color theme="1"/>
        <rFont val="Times New Roman"/>
        <family val="1"/>
      </rPr>
      <t>m</t>
    </r>
    <r>
      <rPr>
        <sz val="12"/>
        <color theme="1"/>
        <rFont val="Times New Roman"/>
        <family val="1"/>
      </rPr>
      <t>n1</t>
    </r>
  </si>
  <si>
    <r>
      <rPr>
        <sz val="16"/>
        <color theme="1"/>
        <rFont val="Times New Roman"/>
        <family val="1"/>
      </rPr>
      <t>m</t>
    </r>
    <r>
      <rPr>
        <sz val="12"/>
        <color theme="1"/>
        <rFont val="Times New Roman"/>
        <family val="1"/>
      </rPr>
      <t>n2</t>
    </r>
  </si>
  <si>
    <t xml:space="preserve">chọn </t>
  </si>
  <si>
    <r>
      <t>m</t>
    </r>
    <r>
      <rPr>
        <sz val="11"/>
        <color theme="1"/>
        <rFont val="Times New Roman"/>
        <family val="1"/>
      </rPr>
      <t>n</t>
    </r>
  </si>
  <si>
    <t>b</t>
  </si>
  <si>
    <t>12,84</t>
  </si>
  <si>
    <t>21,56</t>
  </si>
  <si>
    <t>Z4/Z3</t>
  </si>
  <si>
    <t>u14</t>
  </si>
  <si>
    <t>n3</t>
  </si>
  <si>
    <t>z2</t>
  </si>
  <si>
    <t>z1</t>
  </si>
  <si>
    <r>
      <rPr>
        <sz val="16"/>
        <color theme="1"/>
        <rFont val="Times New Roman"/>
        <family val="1"/>
      </rPr>
      <t>u</t>
    </r>
    <r>
      <rPr>
        <sz val="10"/>
        <color theme="1"/>
        <rFont val="Times New Roman"/>
        <family val="1"/>
      </rPr>
      <t>14</t>
    </r>
  </si>
  <si>
    <t>Đề</t>
  </si>
  <si>
    <t>n4</t>
  </si>
  <si>
    <t>Câu</t>
  </si>
  <si>
    <t>u15</t>
  </si>
  <si>
    <t>OTO2</t>
  </si>
  <si>
    <t>OTO1</t>
  </si>
  <si>
    <t>Z4/Z3'</t>
  </si>
  <si>
    <t>z3'</t>
  </si>
  <si>
    <t>z4</t>
  </si>
  <si>
    <t>z5</t>
  </si>
  <si>
    <t>z5'</t>
  </si>
  <si>
    <t>Z6</t>
  </si>
  <si>
    <t>Z6/Z5'</t>
  </si>
  <si>
    <t>Z7</t>
  </si>
  <si>
    <t>Z7/Z6</t>
  </si>
  <si>
    <t>u17</t>
  </si>
  <si>
    <t>pc</t>
  </si>
  <si>
    <t>2a/pc</t>
  </si>
  <si>
    <t>BẢNG THÔNG SỐ HÌNH HỌC CỦA BỘ TRUYỀN XÍCH ỐNG CON LĂN</t>
  </si>
  <si>
    <r>
      <t>(Zx</t>
    </r>
    <r>
      <rPr>
        <sz val="10"/>
        <color theme="1"/>
        <rFont val="Times New Roman"/>
        <family val="1"/>
      </rPr>
      <t>1</t>
    </r>
    <r>
      <rPr>
        <sz val="12"/>
        <color theme="1"/>
        <rFont val="Times New Roman"/>
        <family val="1"/>
      </rPr>
      <t>+Zx</t>
    </r>
    <r>
      <rPr>
        <sz val="10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)</t>
    </r>
    <r>
      <rPr>
        <sz val="12"/>
        <color theme="1"/>
        <rFont val="Symbol"/>
        <family val="1"/>
        <charset val="2"/>
      </rPr>
      <t>/2</t>
    </r>
  </si>
  <si>
    <r>
      <t>Zx</t>
    </r>
    <r>
      <rPr>
        <sz val="10"/>
        <color theme="1"/>
        <rFont val="Times New Roman"/>
        <family val="1"/>
      </rPr>
      <t>2</t>
    </r>
  </si>
  <si>
    <r>
      <t>Zx</t>
    </r>
    <r>
      <rPr>
        <sz val="10"/>
        <color theme="1"/>
        <rFont val="Times New Roman"/>
        <family val="1"/>
      </rPr>
      <t>1</t>
    </r>
  </si>
  <si>
    <r>
      <t>u</t>
    </r>
    <r>
      <rPr>
        <sz val="10"/>
        <color theme="1"/>
        <rFont val="Times New Roman"/>
        <family val="1"/>
      </rPr>
      <t>x</t>
    </r>
  </si>
  <si>
    <r>
      <t>2.u</t>
    </r>
    <r>
      <rPr>
        <sz val="10"/>
        <color theme="1"/>
        <rFont val="Times New Roman"/>
        <family val="1"/>
      </rPr>
      <t>x</t>
    </r>
  </si>
  <si>
    <r>
      <t>(Zx</t>
    </r>
    <r>
      <rPr>
        <sz val="10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-Zx</t>
    </r>
    <r>
      <rPr>
        <sz val="10"/>
        <color theme="1"/>
        <rFont val="Times New Roman"/>
        <family val="1"/>
      </rPr>
      <t>1</t>
    </r>
    <r>
      <rPr>
        <sz val="12"/>
        <color theme="1"/>
        <rFont val="Times New Roman"/>
        <family val="1"/>
      </rPr>
      <t>)</t>
    </r>
  </si>
  <si>
    <r>
      <t>(Zx</t>
    </r>
    <r>
      <rPr>
        <sz val="10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-Zx</t>
    </r>
    <r>
      <rPr>
        <sz val="10"/>
        <color theme="1"/>
        <rFont val="Times New Roman"/>
        <family val="1"/>
      </rPr>
      <t>1</t>
    </r>
    <r>
      <rPr>
        <sz val="12"/>
        <color theme="1"/>
        <rFont val="Times New Roman"/>
        <family val="1"/>
      </rPr>
      <t>)^(Zx</t>
    </r>
    <r>
      <rPr>
        <sz val="10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-Zx</t>
    </r>
    <r>
      <rPr>
        <sz val="10"/>
        <color theme="1"/>
        <rFont val="Times New Roman"/>
        <family val="1"/>
      </rPr>
      <t>1</t>
    </r>
    <r>
      <rPr>
        <sz val="12"/>
        <color theme="1"/>
        <rFont val="Times New Roman"/>
        <family val="1"/>
      </rPr>
      <t>)</t>
    </r>
  </si>
  <si>
    <r>
      <t>2.</t>
    </r>
    <r>
      <rPr>
        <sz val="12"/>
        <color theme="1"/>
        <rFont val="Symbol"/>
        <family val="1"/>
        <charset val="2"/>
      </rPr>
      <t>p*2.p</t>
    </r>
  </si>
  <si>
    <t>pc/a</t>
  </si>
  <si>
    <t>X</t>
  </si>
  <si>
    <r>
      <t>D</t>
    </r>
    <r>
      <rPr>
        <sz val="12"/>
        <color theme="1"/>
        <rFont val="Times New Roman"/>
        <family val="1"/>
      </rPr>
      <t>ux</t>
    </r>
  </si>
  <si>
    <t>ux</t>
  </si>
  <si>
    <r>
      <t>Zx</t>
    </r>
    <r>
      <rPr>
        <sz val="10"/>
        <color theme="1"/>
        <rFont val="Times New Roman"/>
        <family val="1"/>
      </rPr>
      <t>2/Zx1</t>
    </r>
  </si>
  <si>
    <t>BẢNG GIÁ TRỊ  SUC BEN VL</t>
  </si>
  <si>
    <t>hs</t>
  </si>
  <si>
    <t>Wo</t>
  </si>
  <si>
    <t>Mz</t>
  </si>
  <si>
    <t>Tmax</t>
  </si>
  <si>
    <t>[T]</t>
  </si>
  <si>
    <t>Trục đặc</t>
  </si>
  <si>
    <t>rỗng</t>
  </si>
  <si>
    <t>a4</t>
  </si>
  <si>
    <t>1m</t>
  </si>
  <si>
    <t>100cm</t>
  </si>
  <si>
    <r>
      <t>1-</t>
    </r>
    <r>
      <rPr>
        <sz val="12"/>
        <color theme="1"/>
        <rFont val="Symbol"/>
        <family val="1"/>
        <charset val="2"/>
      </rPr>
      <t>a</t>
    </r>
    <r>
      <rPr>
        <sz val="12"/>
        <color theme="1"/>
        <rFont val="Times New Roman"/>
        <family val="1"/>
      </rPr>
      <t>4</t>
    </r>
  </si>
  <si>
    <t>q</t>
  </si>
  <si>
    <t>G</t>
  </si>
  <si>
    <t>d4</t>
  </si>
  <si>
    <t>Jo</t>
  </si>
  <si>
    <t>D4</t>
  </si>
  <si>
    <t>thi</t>
  </si>
  <si>
    <t>0,5</t>
  </si>
  <si>
    <t>cm</t>
  </si>
  <si>
    <t>cm4</t>
  </si>
  <si>
    <t>kn/cm2</t>
  </si>
  <si>
    <t>độ/cm</t>
  </si>
  <si>
    <r>
      <t>180/</t>
    </r>
    <r>
      <rPr>
        <sz val="12"/>
        <rFont val="Calibri"/>
        <family val="2"/>
      </rPr>
      <t>π</t>
    </r>
  </si>
  <si>
    <t>kt</t>
  </si>
  <si>
    <t>6cm</t>
  </si>
  <si>
    <t>0.06m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</si>
</sst>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Symbol"/>
      <family val="1"/>
      <charset val="2"/>
    </font>
    <font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Symbol"/>
      <family val="1"/>
      <charset val="2"/>
    </font>
    <font>
      <sz val="12"/>
      <name val="Times New Roman"/>
      <family val="1"/>
    </font>
    <font>
      <sz val="13"/>
      <color theme="1"/>
      <name val="Times New Roman"/>
      <family val="1"/>
    </font>
    <font>
      <sz val="12"/>
      <color rgb="FF7030A0"/>
      <name val="Times New Roman"/>
      <family val="1"/>
    </font>
    <font>
      <sz val="11"/>
      <color theme="1"/>
      <name val="Times New Roman"/>
      <family val="1"/>
    </font>
    <font>
      <sz val="16"/>
      <color theme="1"/>
      <name val="Times New Roman"/>
      <family val="1"/>
    </font>
    <font>
      <sz val="12"/>
      <color theme="2"/>
      <name val="Times New Roman"/>
      <family val="1"/>
    </font>
    <font>
      <sz val="12"/>
      <name val="Symbol"/>
      <family val="1"/>
      <charset val="2"/>
    </font>
    <font>
      <sz val="12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5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2" fontId="1" fillId="5" borderId="1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3" fillId="7" borderId="1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165" fontId="8" fillId="6" borderId="1" xfId="0" applyNumberFormat="1" applyFont="1" applyFill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164" fontId="8" fillId="7" borderId="1" xfId="0" applyNumberFormat="1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104775</xdr:colOff>
      <xdr:row>9</xdr:row>
      <xdr:rowOff>33337</xdr:rowOff>
    </xdr:from>
    <xdr:ext cx="65" cy="172227"/>
    <xdr:sp macro="" textlink="">
      <xdr:nvSpPr>
        <xdr:cNvPr id="2" name="TextBox 1"/>
        <xdr:cNvSpPr txBox="1"/>
      </xdr:nvSpPr>
      <xdr:spPr>
        <a:xfrm>
          <a:off x="5943600" y="18716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23</xdr:col>
      <xdr:colOff>523875</xdr:colOff>
      <xdr:row>4</xdr:row>
      <xdr:rowOff>57149</xdr:rowOff>
    </xdr:from>
    <xdr:ext cx="904875" cy="18845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13154025" y="857249"/>
              <a:ext cx="904875" cy="1884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algn="ctr"/>
              <a14:m>
                <m:oMath xmlns:m="http://schemas.openxmlformats.org/officeDocument/2006/math">
                  <m:r>
                    <a:rPr lang="en-US" sz="11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√</m:t>
                  </m:r>
                </m:oMath>
              </a14:m>
              <a:r>
                <a:rPr lang="en-US" sz="1100"/>
                <a:t>k^2 -8</a:t>
              </a:r>
              <a:r>
                <a:rPr lang="en-US" sz="1100">
                  <a:sym typeface="Symbol" panose="05050102010706020507" pitchFamily="18" charset="2"/>
                </a:rPr>
                <a:t>^2</a:t>
              </a:r>
              <a:endParaRPr lang="en-US" sz="110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13154025" y="857249"/>
              <a:ext cx="904875" cy="1884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algn="ctr"/>
              <a:r>
                <a:rPr lang="en-US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r>
                <a:rPr lang="en-US" sz="1100"/>
                <a:t>k^2 -8</a:t>
              </a:r>
              <a:r>
                <a:rPr lang="en-US" sz="1100">
                  <a:sym typeface="Symbol" panose="05050102010706020507" pitchFamily="18" charset="2"/>
                </a:rPr>
                <a:t>^2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20</xdr:col>
      <xdr:colOff>0</xdr:colOff>
      <xdr:row>4</xdr:row>
      <xdr:rowOff>52387</xdr:rowOff>
    </xdr:from>
    <xdr:ext cx="65" cy="172227"/>
    <xdr:sp macro="" textlink="">
      <xdr:nvSpPr>
        <xdr:cNvPr id="4" name="TextBox 3"/>
        <xdr:cNvSpPr txBox="1"/>
      </xdr:nvSpPr>
      <xdr:spPr>
        <a:xfrm>
          <a:off x="10572750" y="8524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104775</xdr:colOff>
      <xdr:row>10</xdr:row>
      <xdr:rowOff>33337</xdr:rowOff>
    </xdr:from>
    <xdr:ext cx="65" cy="172227"/>
    <xdr:sp macro="" textlink="">
      <xdr:nvSpPr>
        <xdr:cNvPr id="5" name="TextBox 4"/>
        <xdr:cNvSpPr txBox="1"/>
      </xdr:nvSpPr>
      <xdr:spPr>
        <a:xfrm>
          <a:off x="4733925" y="18716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104775</xdr:colOff>
      <xdr:row>9</xdr:row>
      <xdr:rowOff>33337</xdr:rowOff>
    </xdr:from>
    <xdr:ext cx="65" cy="172227"/>
    <xdr:sp macro="" textlink="">
      <xdr:nvSpPr>
        <xdr:cNvPr id="2" name="TextBox 1"/>
        <xdr:cNvSpPr txBox="1"/>
      </xdr:nvSpPr>
      <xdr:spPr>
        <a:xfrm>
          <a:off x="5943600" y="18716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22</xdr:col>
      <xdr:colOff>9524</xdr:colOff>
      <xdr:row>4</xdr:row>
      <xdr:rowOff>57149</xdr:rowOff>
    </xdr:from>
    <xdr:ext cx="904875" cy="18845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10410824" y="857249"/>
              <a:ext cx="904875" cy="1884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algn="ctr"/>
              <a14:m>
                <m:oMath xmlns:m="http://schemas.openxmlformats.org/officeDocument/2006/math">
                  <m:r>
                    <a:rPr lang="en-US" sz="11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√</m:t>
                  </m:r>
                </m:oMath>
              </a14:m>
              <a:r>
                <a:rPr lang="en-US" sz="1100"/>
                <a:t>k^2 -8</a:t>
              </a:r>
              <a:r>
                <a:rPr lang="en-US" sz="1100">
                  <a:sym typeface="Symbol" panose="05050102010706020507" pitchFamily="18" charset="2"/>
                </a:rPr>
                <a:t>^2</a:t>
              </a:r>
              <a:endParaRPr lang="en-US" sz="110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10410824" y="857249"/>
              <a:ext cx="904875" cy="1884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algn="ctr"/>
              <a:r>
                <a:rPr lang="en-US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r>
                <a:rPr lang="en-US" sz="1100"/>
                <a:t>k^2 -8</a:t>
              </a:r>
              <a:r>
                <a:rPr lang="en-US" sz="1100">
                  <a:sym typeface="Symbol" panose="05050102010706020507" pitchFamily="18" charset="2"/>
                </a:rPr>
                <a:t>^2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21</xdr:col>
      <xdr:colOff>9525</xdr:colOff>
      <xdr:row>4</xdr:row>
      <xdr:rowOff>52387</xdr:rowOff>
    </xdr:from>
    <xdr:ext cx="65" cy="172227"/>
    <xdr:sp macro="" textlink="">
      <xdr:nvSpPr>
        <xdr:cNvPr id="4" name="TextBox 3"/>
        <xdr:cNvSpPr txBox="1"/>
      </xdr:nvSpPr>
      <xdr:spPr>
        <a:xfrm>
          <a:off x="9686925" y="8524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7"/>
  <sheetViews>
    <sheetView workbookViewId="0">
      <selection activeCell="U15" sqref="U15"/>
    </sheetView>
  </sheetViews>
  <sheetFormatPr defaultRowHeight="15.75" x14ac:dyDescent="0.25"/>
  <cols>
    <col min="1" max="1" width="5.7109375" style="1" customWidth="1"/>
    <col min="2" max="2" width="7.42578125" style="1" customWidth="1"/>
    <col min="3" max="3" width="6.42578125" style="1" customWidth="1"/>
    <col min="4" max="4" width="6.5703125" style="1" customWidth="1"/>
    <col min="5" max="5" width="7.28515625" style="1" customWidth="1"/>
    <col min="6" max="6" width="7.7109375" style="1" customWidth="1"/>
    <col min="7" max="7" width="5.85546875" style="1" customWidth="1"/>
    <col min="8" max="8" width="6.140625" style="1" customWidth="1"/>
    <col min="9" max="9" width="9.140625" style="1" customWidth="1"/>
    <col min="10" max="10" width="7.140625" style="1" customWidth="1"/>
    <col min="11" max="11" width="7.7109375" style="1" customWidth="1"/>
    <col min="12" max="12" width="8.42578125" style="1" customWidth="1"/>
    <col min="13" max="13" width="10" style="1" customWidth="1"/>
    <col min="14" max="14" width="11.140625" style="1" customWidth="1"/>
    <col min="15" max="15" width="10.85546875" style="1" customWidth="1"/>
    <col min="16" max="16" width="19.42578125" style="1" customWidth="1"/>
    <col min="17" max="17" width="11.5703125" style="1" customWidth="1"/>
    <col min="18" max="18" width="11.7109375" style="1" customWidth="1"/>
    <col min="19" max="19" width="14.140625" style="1" customWidth="1"/>
    <col min="20" max="20" width="11" style="1" customWidth="1"/>
    <col min="21" max="21" width="9.140625" style="1"/>
    <col min="22" max="22" width="10.5703125" style="1" customWidth="1"/>
    <col min="23" max="16384" width="9.140625" style="1"/>
  </cols>
  <sheetData>
    <row r="2" spans="1:23" ht="15.75" customHeight="1" x14ac:dyDescent="0.3">
      <c r="E2" s="6" t="s">
        <v>122</v>
      </c>
      <c r="F2" s="7"/>
      <c r="G2" s="7"/>
      <c r="H2" s="7"/>
      <c r="I2" s="7"/>
      <c r="J2" s="7"/>
    </row>
    <row r="3" spans="1:23" x14ac:dyDescent="0.25">
      <c r="E3" s="7"/>
      <c r="F3" s="7"/>
      <c r="G3" s="7"/>
      <c r="H3" s="7"/>
      <c r="I3" s="7"/>
      <c r="J3" s="7"/>
      <c r="R3" s="18" t="s">
        <v>36</v>
      </c>
    </row>
    <row r="5" spans="1:23" ht="18.75" x14ac:dyDescent="0.3">
      <c r="A5" s="2" t="s">
        <v>35</v>
      </c>
      <c r="B5" s="3" t="s">
        <v>6</v>
      </c>
      <c r="C5" s="3" t="s">
        <v>18</v>
      </c>
      <c r="D5" s="3" t="s">
        <v>46</v>
      </c>
      <c r="E5" s="8" t="s">
        <v>120</v>
      </c>
      <c r="F5" s="8" t="s">
        <v>121</v>
      </c>
      <c r="G5" s="8">
        <v>29</v>
      </c>
      <c r="H5" s="8" t="s">
        <v>126</v>
      </c>
      <c r="I5" s="8" t="s">
        <v>127</v>
      </c>
      <c r="J5" s="8" t="s">
        <v>125</v>
      </c>
      <c r="K5" s="8" t="s">
        <v>124</v>
      </c>
      <c r="L5" s="8" t="s">
        <v>13</v>
      </c>
      <c r="M5" s="8" t="s">
        <v>15</v>
      </c>
      <c r="N5" s="3" t="s">
        <v>123</v>
      </c>
      <c r="O5" s="3" t="s">
        <v>128</v>
      </c>
      <c r="P5" s="3" t="s">
        <v>129</v>
      </c>
      <c r="Q5" s="3" t="s">
        <v>130</v>
      </c>
      <c r="R5" s="8" t="s">
        <v>131</v>
      </c>
      <c r="S5" s="3" t="s">
        <v>132</v>
      </c>
      <c r="T5" s="9" t="s">
        <v>133</v>
      </c>
      <c r="U5" s="3" t="s">
        <v>134</v>
      </c>
      <c r="V5" s="8" t="s">
        <v>135</v>
      </c>
      <c r="W5" s="8"/>
    </row>
    <row r="6" spans="1:23" x14ac:dyDescent="0.25">
      <c r="A6" s="3"/>
      <c r="B6" s="3">
        <v>40</v>
      </c>
      <c r="C6" s="3">
        <f>B6*E6</f>
        <v>762</v>
      </c>
      <c r="D6" s="3">
        <f>C6*2</f>
        <v>1524</v>
      </c>
      <c r="E6" s="3">
        <v>19.05</v>
      </c>
      <c r="F6" s="3">
        <f>D6/E6</f>
        <v>80</v>
      </c>
      <c r="G6" s="3">
        <v>29</v>
      </c>
      <c r="H6" s="3">
        <v>5</v>
      </c>
      <c r="I6" s="3">
        <f>2*H6</f>
        <v>10</v>
      </c>
      <c r="J6" s="3">
        <f>G6-I6</f>
        <v>19</v>
      </c>
      <c r="K6" s="31">
        <f>H6*J6</f>
        <v>95</v>
      </c>
      <c r="L6" s="31">
        <f>(E6*J6)/3.14</f>
        <v>115.27070063694266</v>
      </c>
      <c r="M6" s="35">
        <f>(E6*K6)/3.14</f>
        <v>576.3535031847133</v>
      </c>
      <c r="N6" s="3">
        <f>(J6+K6)/2</f>
        <v>57</v>
      </c>
      <c r="O6" s="3">
        <f>K6-J6</f>
        <v>76</v>
      </c>
      <c r="P6" s="5">
        <f>O6*O6</f>
        <v>5776</v>
      </c>
      <c r="Q6" s="33">
        <v>157.75360000000001</v>
      </c>
      <c r="R6" s="32">
        <f>E6/C6</f>
        <v>2.5000000000000001E-2</v>
      </c>
      <c r="S6" s="5">
        <f>F6+N6+(P6/Q6)*R6</f>
        <v>137.91535153555924</v>
      </c>
      <c r="T6" s="3">
        <f>(U6-V6)/U6</f>
        <v>0</v>
      </c>
      <c r="U6" s="3">
        <v>5</v>
      </c>
      <c r="V6" s="3">
        <f>K6/J6</f>
        <v>5</v>
      </c>
      <c r="W6" s="3"/>
    </row>
    <row r="7" spans="1:23" x14ac:dyDescent="0.25">
      <c r="A7" s="21"/>
      <c r="B7" s="3">
        <v>40</v>
      </c>
      <c r="C7" s="3">
        <f>B7*E7</f>
        <v>1016</v>
      </c>
      <c r="D7" s="3">
        <f>C7*2</f>
        <v>2032</v>
      </c>
      <c r="E7" s="3">
        <v>25.4</v>
      </c>
      <c r="F7" s="3">
        <f>D7/E7</f>
        <v>80</v>
      </c>
      <c r="G7" s="3">
        <v>29</v>
      </c>
      <c r="H7" s="3">
        <v>4.5</v>
      </c>
      <c r="I7" s="3">
        <f>2*H7</f>
        <v>9</v>
      </c>
      <c r="J7" s="4">
        <f>G7-I7</f>
        <v>20</v>
      </c>
      <c r="K7" s="34">
        <f>H7*J7</f>
        <v>90</v>
      </c>
      <c r="L7" s="31">
        <f>(E7*J7)/3.14</f>
        <v>161.78343949044586</v>
      </c>
      <c r="M7" s="35">
        <f>(E7*K7)/3.14</f>
        <v>728.0254777070063</v>
      </c>
      <c r="N7" s="3">
        <f>(J7+K7)/2</f>
        <v>55</v>
      </c>
      <c r="O7" s="3">
        <f>K7-J7</f>
        <v>70</v>
      </c>
      <c r="P7" s="5">
        <f>O7*O7</f>
        <v>4900</v>
      </c>
      <c r="Q7" s="33">
        <v>157.75360000000001</v>
      </c>
      <c r="R7" s="32">
        <f>E7/C7</f>
        <v>2.4999999999999998E-2</v>
      </c>
      <c r="S7" s="5">
        <f>F7+N7+(P7/Q7)*R7</f>
        <v>135.77652744533248</v>
      </c>
      <c r="T7" s="5">
        <f>(U7-V7)/U7</f>
        <v>0</v>
      </c>
      <c r="U7" s="3">
        <v>4.5</v>
      </c>
      <c r="V7" s="5">
        <f>K7/J7</f>
        <v>4.5</v>
      </c>
      <c r="W7" s="2"/>
    </row>
    <row r="8" spans="1:23" x14ac:dyDescent="0.25">
      <c r="A8" s="3"/>
      <c r="B8" s="3">
        <v>40</v>
      </c>
      <c r="C8" s="3">
        <f>B8*E8</f>
        <v>1016</v>
      </c>
      <c r="D8" s="3">
        <f>C8*2</f>
        <v>2032</v>
      </c>
      <c r="E8" s="3">
        <v>25.4</v>
      </c>
      <c r="F8" s="3">
        <f>D8/E8</f>
        <v>80</v>
      </c>
      <c r="G8" s="3">
        <v>29</v>
      </c>
      <c r="H8" s="3">
        <v>3.6</v>
      </c>
      <c r="I8" s="3">
        <f>2*H8</f>
        <v>7.2</v>
      </c>
      <c r="J8" s="4">
        <f>G8-I8</f>
        <v>21.8</v>
      </c>
      <c r="K8" s="34">
        <f>H8*J8</f>
        <v>78.48</v>
      </c>
      <c r="L8" s="30"/>
      <c r="M8" s="30"/>
      <c r="N8" s="3"/>
      <c r="O8" s="3"/>
      <c r="P8" s="5"/>
      <c r="Q8" s="5"/>
      <c r="R8" s="3"/>
      <c r="S8" s="5"/>
      <c r="T8" s="3"/>
      <c r="U8" s="17"/>
      <c r="V8" s="20"/>
      <c r="W8" s="15"/>
    </row>
    <row r="9" spans="1:23" x14ac:dyDescent="0.25">
      <c r="A9" s="21"/>
      <c r="B9" s="3">
        <v>40</v>
      </c>
      <c r="C9" s="3">
        <f t="shared" ref="C9:C10" si="0">B9*E9</f>
        <v>1016</v>
      </c>
      <c r="D9" s="3">
        <f t="shared" ref="D9:D10" si="1">C9*2</f>
        <v>2032</v>
      </c>
      <c r="E9" s="3">
        <v>25.4</v>
      </c>
      <c r="F9" s="3">
        <f t="shared" ref="F9:F10" si="2">D9/E9</f>
        <v>80</v>
      </c>
      <c r="G9" s="3">
        <v>29</v>
      </c>
      <c r="H9" s="3">
        <v>3.6</v>
      </c>
      <c r="I9" s="3">
        <f t="shared" ref="I9:I10" si="3">2*H9</f>
        <v>7.2</v>
      </c>
      <c r="J9" s="36">
        <v>22</v>
      </c>
      <c r="K9" s="36">
        <v>79</v>
      </c>
      <c r="L9" s="31">
        <f t="shared" ref="L9:L10" si="4">(E9*J9)/3.14</f>
        <v>177.96178343949043</v>
      </c>
      <c r="M9" s="35">
        <f t="shared" ref="M9:M10" si="5">(E9*K9)/3.14</f>
        <v>639.04458598726114</v>
      </c>
      <c r="N9" s="3">
        <f t="shared" ref="N9:N10" si="6">(J9+K9)/2</f>
        <v>50.5</v>
      </c>
      <c r="O9" s="3">
        <f t="shared" ref="O9:O10" si="7">K9-J9</f>
        <v>57</v>
      </c>
      <c r="P9" s="5">
        <f t="shared" ref="P9:P10" si="8">O9*O9</f>
        <v>3249</v>
      </c>
      <c r="Q9" s="33">
        <v>157.75360000000001</v>
      </c>
      <c r="R9" s="32">
        <f t="shared" ref="R9:R10" si="9">E9/C9</f>
        <v>2.4999999999999998E-2</v>
      </c>
      <c r="S9" s="11">
        <f t="shared" ref="S9:S10" si="10">F9+N9+(P9/Q9)*R9</f>
        <v>131.01488523875207</v>
      </c>
      <c r="T9" s="15">
        <f t="shared" ref="T9:T10" si="11">(U9-V9)/U9</f>
        <v>2.5252525252525723E-3</v>
      </c>
      <c r="U9" s="3">
        <v>3.6</v>
      </c>
      <c r="V9" s="15">
        <f t="shared" ref="V9:V10" si="12">K9/J9</f>
        <v>3.5909090909090908</v>
      </c>
      <c r="W9" s="2"/>
    </row>
    <row r="10" spans="1:23" x14ac:dyDescent="0.25">
      <c r="A10" s="3"/>
      <c r="B10" s="3">
        <v>40</v>
      </c>
      <c r="C10" s="3">
        <f t="shared" si="0"/>
        <v>1016</v>
      </c>
      <c r="D10" s="3">
        <f t="shared" si="1"/>
        <v>2032</v>
      </c>
      <c r="E10" s="3">
        <v>25.4</v>
      </c>
      <c r="F10" s="3">
        <f t="shared" si="2"/>
        <v>80</v>
      </c>
      <c r="G10" s="3">
        <v>29</v>
      </c>
      <c r="H10" s="3">
        <v>3.6</v>
      </c>
      <c r="I10" s="3">
        <f t="shared" si="3"/>
        <v>7.2</v>
      </c>
      <c r="J10" s="37">
        <v>22</v>
      </c>
      <c r="K10" s="38">
        <v>80</v>
      </c>
      <c r="L10" s="31">
        <f t="shared" si="4"/>
        <v>177.96178343949043</v>
      </c>
      <c r="M10" s="35">
        <f t="shared" si="5"/>
        <v>647.13375796178343</v>
      </c>
      <c r="N10" s="3">
        <f t="shared" si="6"/>
        <v>51</v>
      </c>
      <c r="O10" s="3">
        <f t="shared" si="7"/>
        <v>58</v>
      </c>
      <c r="P10" s="5">
        <f t="shared" si="8"/>
        <v>3364</v>
      </c>
      <c r="Q10" s="33">
        <v>157.75360000000001</v>
      </c>
      <c r="R10" s="32">
        <f t="shared" si="9"/>
        <v>2.4999999999999998E-2</v>
      </c>
      <c r="S10" s="11">
        <f t="shared" si="10"/>
        <v>131.53310986246908</v>
      </c>
      <c r="T10" s="15">
        <f t="shared" si="11"/>
        <v>-1.0101010101010043E-2</v>
      </c>
      <c r="U10" s="3">
        <v>3.6</v>
      </c>
      <c r="V10" s="15">
        <f t="shared" si="12"/>
        <v>3.6363636363636362</v>
      </c>
      <c r="W10" s="2"/>
    </row>
    <row r="11" spans="1:23" x14ac:dyDescent="0.25">
      <c r="A11" s="2"/>
      <c r="B11" s="3">
        <v>40</v>
      </c>
      <c r="C11" s="3">
        <f t="shared" ref="C11" si="13">B11*E11</f>
        <v>1016</v>
      </c>
      <c r="D11" s="3">
        <f t="shared" ref="D11" si="14">C11*2</f>
        <v>2032</v>
      </c>
      <c r="E11" s="3">
        <v>25.4</v>
      </c>
      <c r="F11" s="3">
        <f t="shared" ref="F11" si="15">D11/E11</f>
        <v>80</v>
      </c>
      <c r="G11" s="3">
        <v>29</v>
      </c>
      <c r="H11" s="3">
        <v>4</v>
      </c>
      <c r="I11" s="3">
        <f t="shared" ref="I11" si="16">2*H11</f>
        <v>8</v>
      </c>
      <c r="J11" s="4">
        <f>G11-I11</f>
        <v>21</v>
      </c>
      <c r="K11" s="34">
        <f>H11*J11</f>
        <v>84</v>
      </c>
      <c r="L11" s="31">
        <f t="shared" ref="L11" si="17">(E11*J11)/3.14</f>
        <v>169.87261146496814</v>
      </c>
      <c r="M11" s="35">
        <f t="shared" ref="M11" si="18">(E11*K11)/3.14</f>
        <v>679.49044585987258</v>
      </c>
      <c r="N11" s="3">
        <f t="shared" ref="N11" si="19">(J11+K11)/2</f>
        <v>52.5</v>
      </c>
      <c r="O11" s="3">
        <f t="shared" ref="O11" si="20">K11-J11</f>
        <v>63</v>
      </c>
      <c r="P11" s="5">
        <f t="shared" ref="P11" si="21">O11*O11</f>
        <v>3969</v>
      </c>
      <c r="Q11" s="33">
        <v>157.75360000000001</v>
      </c>
      <c r="R11" s="32">
        <f t="shared" ref="R11" si="22">E11/C11</f>
        <v>2.4999999999999998E-2</v>
      </c>
      <c r="S11" s="11">
        <f t="shared" ref="S11" si="23">F11+N11+(P11/Q11)*R11</f>
        <v>133.1289872307193</v>
      </c>
      <c r="T11" s="15">
        <f t="shared" ref="T11" si="24">(U11-V11)/U11</f>
        <v>0</v>
      </c>
      <c r="U11" s="3">
        <v>4</v>
      </c>
      <c r="V11" s="15">
        <f t="shared" ref="V11" si="25">K11/J11</f>
        <v>4</v>
      </c>
      <c r="W11" s="2"/>
    </row>
    <row r="12" spans="1:23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17"/>
  <sheetViews>
    <sheetView workbookViewId="0">
      <selection activeCell="AB16" sqref="AB16"/>
    </sheetView>
  </sheetViews>
  <sheetFormatPr defaultRowHeight="15.75" x14ac:dyDescent="0.25"/>
  <cols>
    <col min="1" max="1" width="5.7109375" style="1" customWidth="1"/>
    <col min="2" max="4" width="6.7109375" style="1" customWidth="1"/>
    <col min="5" max="5" width="6.28515625" style="1" customWidth="1"/>
    <col min="6" max="6" width="6.42578125" style="1" customWidth="1"/>
    <col min="7" max="7" width="6.85546875" style="1" customWidth="1"/>
    <col min="8" max="8" width="7.42578125" style="1" customWidth="1"/>
    <col min="9" max="9" width="7.140625" style="1" customWidth="1"/>
    <col min="10" max="10" width="7.28515625" style="1" customWidth="1"/>
    <col min="11" max="11" width="6.7109375" style="1" customWidth="1"/>
    <col min="12" max="12" width="7.140625" style="1" customWidth="1"/>
    <col min="13" max="13" width="6.42578125" style="1" customWidth="1"/>
    <col min="14" max="14" width="6.28515625" style="1" customWidth="1"/>
    <col min="15" max="15" width="8.5703125" style="1" customWidth="1"/>
    <col min="16" max="16" width="9" style="1" customWidth="1"/>
    <col min="17" max="17" width="10.7109375" style="1" customWidth="1"/>
    <col min="18" max="19" width="8.28515625" style="1" customWidth="1"/>
    <col min="20" max="20" width="12.28515625" style="1" customWidth="1"/>
    <col min="21" max="21" width="7.42578125" style="1" customWidth="1"/>
    <col min="22" max="22" width="12" style="1" customWidth="1"/>
    <col min="23" max="23" width="15.42578125" style="1" customWidth="1"/>
    <col min="24" max="24" width="9.140625" style="1"/>
    <col min="25" max="25" width="10.42578125" style="1" customWidth="1"/>
    <col min="26" max="16384" width="9.140625" style="1"/>
  </cols>
  <sheetData>
    <row r="2" spans="1:28" ht="15.75" customHeight="1" x14ac:dyDescent="0.3">
      <c r="E2" s="6" t="s">
        <v>38</v>
      </c>
      <c r="F2" s="7"/>
      <c r="G2" s="7"/>
      <c r="H2" s="7"/>
      <c r="I2" s="7"/>
      <c r="J2" s="7"/>
      <c r="K2" s="7"/>
      <c r="L2" s="7"/>
      <c r="M2" s="7"/>
    </row>
    <row r="3" spans="1:28" x14ac:dyDescent="0.25">
      <c r="E3" s="7"/>
      <c r="F3" s="7"/>
      <c r="G3" s="18" t="s">
        <v>36</v>
      </c>
      <c r="H3" s="7"/>
      <c r="I3" s="7"/>
      <c r="J3" s="7"/>
      <c r="K3" s="18" t="s">
        <v>36</v>
      </c>
      <c r="L3" s="7"/>
      <c r="M3" s="7"/>
      <c r="S3" s="18" t="s">
        <v>36</v>
      </c>
      <c r="W3" s="18" t="s">
        <v>37</v>
      </c>
    </row>
    <row r="5" spans="1:28" ht="18.75" x14ac:dyDescent="0.3">
      <c r="A5" s="2" t="s">
        <v>35</v>
      </c>
      <c r="B5" s="3" t="s">
        <v>6</v>
      </c>
      <c r="C5" s="3" t="s">
        <v>26</v>
      </c>
      <c r="D5" s="3" t="s">
        <v>25</v>
      </c>
      <c r="E5" s="8" t="s">
        <v>12</v>
      </c>
      <c r="F5" s="8" t="s">
        <v>13</v>
      </c>
      <c r="G5" s="8" t="s">
        <v>24</v>
      </c>
      <c r="H5" s="8" t="s">
        <v>14</v>
      </c>
      <c r="I5" s="3" t="s">
        <v>16</v>
      </c>
      <c r="J5" s="8" t="s">
        <v>15</v>
      </c>
      <c r="K5" s="3" t="s">
        <v>27</v>
      </c>
      <c r="L5" s="3" t="s">
        <v>28</v>
      </c>
      <c r="M5" s="9" t="s">
        <v>17</v>
      </c>
      <c r="N5" s="3" t="s">
        <v>18</v>
      </c>
      <c r="O5" s="13" t="s">
        <v>31</v>
      </c>
      <c r="P5" s="13" t="s">
        <v>30</v>
      </c>
      <c r="Q5" s="13" t="s">
        <v>29</v>
      </c>
      <c r="R5" s="3" t="s">
        <v>19</v>
      </c>
      <c r="S5" s="3" t="s">
        <v>33</v>
      </c>
      <c r="T5" s="3" t="s">
        <v>20</v>
      </c>
      <c r="U5" s="9" t="s">
        <v>21</v>
      </c>
      <c r="V5" s="9" t="s">
        <v>32</v>
      </c>
      <c r="W5" s="9"/>
      <c r="X5" s="3" t="s">
        <v>22</v>
      </c>
      <c r="Y5" s="9" t="s">
        <v>23</v>
      </c>
    </row>
    <row r="6" spans="1:28" x14ac:dyDescent="0.25">
      <c r="A6" s="3" t="s">
        <v>34</v>
      </c>
      <c r="B6" s="3">
        <v>1.2</v>
      </c>
      <c r="C6" s="3">
        <v>7</v>
      </c>
      <c r="D6" s="3">
        <v>960</v>
      </c>
      <c r="E6" s="3">
        <v>140</v>
      </c>
      <c r="F6" s="3">
        <f>B6*E6</f>
        <v>168</v>
      </c>
      <c r="G6" s="12">
        <v>180</v>
      </c>
      <c r="H6" s="10">
        <f>(3.14*G6*D6)/60000</f>
        <v>9.0432000000000006</v>
      </c>
      <c r="I6" s="3">
        <v>4.5</v>
      </c>
      <c r="J6" s="3">
        <f>G6*I6</f>
        <v>810</v>
      </c>
      <c r="K6" s="12">
        <v>800</v>
      </c>
      <c r="L6" s="5">
        <f>K6/G6</f>
        <v>4.4444444444444446</v>
      </c>
      <c r="M6" s="11">
        <f>(I6-L6)*100/I6</f>
        <v>1.2345679012345636</v>
      </c>
      <c r="N6" s="19">
        <f>0.97*K6</f>
        <v>776</v>
      </c>
      <c r="O6" s="3">
        <f>(K6+G6)*3.14/2</f>
        <v>1538.6000000000001</v>
      </c>
      <c r="P6" s="3">
        <f>(K6-G6)*(K6-G6)</f>
        <v>384400</v>
      </c>
      <c r="Q6" s="5">
        <f>P6/(4*N6)</f>
        <v>123.84020618556701</v>
      </c>
      <c r="R6" s="5">
        <f>(2*N6)+O6+Q6</f>
        <v>3214.4402061855671</v>
      </c>
      <c r="S6" s="14">
        <v>3150</v>
      </c>
      <c r="T6" s="5">
        <f>S6-O6</f>
        <v>1611.3999999999999</v>
      </c>
      <c r="U6" s="3">
        <f>(K6-G6)/2</f>
        <v>310</v>
      </c>
      <c r="V6" s="3">
        <f>T6*T6-(8*U6*U6)</f>
        <v>1827809.9599999995</v>
      </c>
      <c r="W6" s="21">
        <v>1351.96</v>
      </c>
      <c r="X6" s="20">
        <f>(T6+W6)/4</f>
        <v>740.83999999999992</v>
      </c>
      <c r="Y6" s="15">
        <f>(N6-X6)*100/N6</f>
        <v>4.5309278350515569</v>
      </c>
    </row>
    <row r="7" spans="1:28" x14ac:dyDescent="0.25">
      <c r="A7" s="21" t="s">
        <v>34</v>
      </c>
      <c r="B7" s="3">
        <v>1.2</v>
      </c>
      <c r="C7" s="3">
        <v>8</v>
      </c>
      <c r="D7" s="3">
        <v>800</v>
      </c>
      <c r="E7" s="3">
        <v>140</v>
      </c>
      <c r="F7" s="3">
        <f>B7*E7</f>
        <v>168</v>
      </c>
      <c r="G7" s="12">
        <v>180</v>
      </c>
      <c r="H7" s="10">
        <f>(3.14*G7*D7)/60000</f>
        <v>7.5360000000000014</v>
      </c>
      <c r="I7" s="3">
        <v>5.5</v>
      </c>
      <c r="J7" s="16">
        <f>G7*I7</f>
        <v>990</v>
      </c>
      <c r="K7" s="12">
        <v>900</v>
      </c>
      <c r="L7" s="5">
        <f>K7/G7</f>
        <v>5</v>
      </c>
      <c r="M7" s="11">
        <f>(I7-L7)*100/I7</f>
        <v>9.0909090909090917</v>
      </c>
      <c r="N7" s="19">
        <f>0.97*K7</f>
        <v>873</v>
      </c>
      <c r="O7" s="3">
        <f>(K7+G7)*3.14/2</f>
        <v>1695.6000000000001</v>
      </c>
      <c r="P7" s="3">
        <f>(K7-G7)*(K7-G7)</f>
        <v>518400</v>
      </c>
      <c r="Q7" s="5">
        <f>P7/(4*N7)</f>
        <v>148.45360824742269</v>
      </c>
      <c r="R7" s="5">
        <f>(2*N7)+O7+Q7</f>
        <v>3590.0536082474232</v>
      </c>
      <c r="S7" s="14">
        <v>3550</v>
      </c>
      <c r="T7" s="5">
        <f>S7-O7</f>
        <v>1854.3999999999999</v>
      </c>
      <c r="U7" s="3">
        <f>(K7-G7)/2</f>
        <v>360</v>
      </c>
      <c r="V7" s="3">
        <f>T7*T7-(8*U7*U7)</f>
        <v>2401999.3599999994</v>
      </c>
      <c r="W7" s="23">
        <v>1549.838</v>
      </c>
      <c r="X7" s="20">
        <f>(T7+W7)/4</f>
        <v>851.05949999999996</v>
      </c>
      <c r="Y7" s="15">
        <f>(N7-X7)*100/N7</f>
        <v>2.513230240549833</v>
      </c>
    </row>
    <row r="8" spans="1:28" x14ac:dyDescent="0.25">
      <c r="A8" s="3" t="s">
        <v>34</v>
      </c>
      <c r="B8" s="3">
        <v>1.2</v>
      </c>
      <c r="C8" s="3">
        <v>7.5</v>
      </c>
      <c r="D8" s="3">
        <v>968</v>
      </c>
      <c r="E8" s="3">
        <v>140</v>
      </c>
      <c r="F8" s="3">
        <f>B8*E8</f>
        <v>168</v>
      </c>
      <c r="G8" s="12">
        <v>180</v>
      </c>
      <c r="H8" s="10">
        <f>(3.14*G8*D8)/60000</f>
        <v>9.1185600000000022</v>
      </c>
      <c r="I8" s="3">
        <v>3.6</v>
      </c>
      <c r="J8" s="16">
        <f>G8*I8</f>
        <v>648</v>
      </c>
      <c r="K8" s="12">
        <v>630</v>
      </c>
      <c r="L8" s="5">
        <f>K8/G8</f>
        <v>3.5</v>
      </c>
      <c r="M8" s="11">
        <f>(I8-L8)*100/I8</f>
        <v>2.7777777777777803</v>
      </c>
      <c r="N8" s="19">
        <f>0.97*K8</f>
        <v>611.1</v>
      </c>
      <c r="O8" s="3">
        <f>(K8+G8)*3.14/2</f>
        <v>1271.7</v>
      </c>
      <c r="P8" s="3">
        <f>(K8-G8)*(K8-G8)</f>
        <v>202500</v>
      </c>
      <c r="Q8" s="5">
        <f>P8/(4*N8)</f>
        <v>82.842415316642118</v>
      </c>
      <c r="R8" s="5">
        <f>(2*N8)+O8+Q8</f>
        <v>2576.7424153166421</v>
      </c>
      <c r="S8" s="3">
        <v>2500</v>
      </c>
      <c r="T8" s="5">
        <f>S8-O8</f>
        <v>1228.3</v>
      </c>
      <c r="U8" s="3">
        <f>(K8-G8)/2</f>
        <v>225</v>
      </c>
      <c r="V8" s="3">
        <f>T8*T8-(8*U8*U8)</f>
        <v>1103720.8899999999</v>
      </c>
      <c r="W8" s="22">
        <v>1050.58</v>
      </c>
      <c r="X8" s="20">
        <f>(T8+W8)/4</f>
        <v>569.72</v>
      </c>
      <c r="Y8" s="15">
        <f>(N8-X8)*100/N8</f>
        <v>6.7713958435607919</v>
      </c>
      <c r="Z8" s="17"/>
      <c r="AA8" s="20"/>
      <c r="AB8" s="15"/>
    </row>
    <row r="9" spans="1:28" x14ac:dyDescent="0.25">
      <c r="A9" s="21" t="s">
        <v>34</v>
      </c>
      <c r="B9" s="3">
        <v>1.2</v>
      </c>
      <c r="C9" s="3">
        <v>8</v>
      </c>
      <c r="D9" s="21">
        <v>1250</v>
      </c>
      <c r="E9" s="3">
        <v>140</v>
      </c>
      <c r="F9" s="3">
        <f>B9*E9</f>
        <v>168</v>
      </c>
      <c r="G9" s="12">
        <v>180</v>
      </c>
      <c r="H9" s="10">
        <f>(3.14*G9*D9)/60000</f>
        <v>11.775</v>
      </c>
      <c r="I9" s="3">
        <v>4.5999999999999996</v>
      </c>
      <c r="J9" s="16">
        <f>G9*I9</f>
        <v>827.99999999999989</v>
      </c>
      <c r="K9" s="12">
        <v>800</v>
      </c>
      <c r="L9" s="5">
        <f>K9/G9</f>
        <v>4.4444444444444446</v>
      </c>
      <c r="M9" s="11">
        <f>(I9-L9)*100/I9</f>
        <v>3.3816425120772831</v>
      </c>
      <c r="N9" s="19">
        <f>0.97*K9</f>
        <v>776</v>
      </c>
      <c r="O9" s="3">
        <f>(K9+G9)*3.14/2</f>
        <v>1538.6000000000001</v>
      </c>
      <c r="P9" s="3">
        <f>(K9-G9)*(K9-G9)</f>
        <v>384400</v>
      </c>
      <c r="Q9" s="5">
        <f>P9/(4*N9)</f>
        <v>123.84020618556701</v>
      </c>
      <c r="R9" s="5">
        <f>(2*N9)+O9+Q9</f>
        <v>3214.4402061855671</v>
      </c>
      <c r="S9" s="3">
        <v>3150</v>
      </c>
      <c r="T9" s="5">
        <f>S9-O9</f>
        <v>1611.3999999999999</v>
      </c>
      <c r="U9" s="3">
        <f>(K9-G9)/2</f>
        <v>310</v>
      </c>
      <c r="V9" s="3">
        <f>T9*T9-(8*U9*U9)</f>
        <v>1827809.9599999995</v>
      </c>
      <c r="W9" s="23">
        <v>1351.9649999999999</v>
      </c>
      <c r="X9" s="20">
        <f>(T9+W9)/4</f>
        <v>740.84124999999995</v>
      </c>
      <c r="Y9" s="15">
        <f>(N9-X9)*100/N9</f>
        <v>4.5307667525773265</v>
      </c>
    </row>
    <row r="10" spans="1:28" x14ac:dyDescent="0.25">
      <c r="A10" s="3" t="s">
        <v>39</v>
      </c>
      <c r="B10" s="3">
        <v>1.2</v>
      </c>
      <c r="C10" s="3">
        <v>2.5</v>
      </c>
      <c r="D10" s="21">
        <v>920</v>
      </c>
      <c r="E10" s="3">
        <v>100</v>
      </c>
      <c r="F10" s="3">
        <v>120</v>
      </c>
      <c r="G10" s="12">
        <v>125</v>
      </c>
      <c r="H10" s="10">
        <f>(3.14*G10*D10)/60000</f>
        <v>6.0183333333333335</v>
      </c>
      <c r="I10" s="3">
        <v>3</v>
      </c>
      <c r="J10" s="16">
        <f>G10*I10</f>
        <v>375</v>
      </c>
      <c r="K10" s="12">
        <v>360</v>
      </c>
      <c r="L10" s="5">
        <f>K10/G10</f>
        <v>2.88</v>
      </c>
      <c r="M10" s="11">
        <f>(I10-L10)*100/I10</f>
        <v>4.0000000000000036</v>
      </c>
      <c r="N10" s="19">
        <f>1*K10</f>
        <v>360</v>
      </c>
      <c r="O10" s="3">
        <f>(K10+G10)*3.14/2</f>
        <v>761.45</v>
      </c>
      <c r="P10" s="3">
        <f>(K10-G10)*(K10-G10)</f>
        <v>55225</v>
      </c>
      <c r="Q10" s="5">
        <f>P10/(4*N10)</f>
        <v>38.350694444444443</v>
      </c>
      <c r="R10" s="5">
        <f>(2*N10)+O10+Q10</f>
        <v>1519.8006944444444</v>
      </c>
      <c r="S10" s="3">
        <v>1600</v>
      </c>
      <c r="T10" s="5">
        <f>S10-O10</f>
        <v>838.55</v>
      </c>
      <c r="U10" s="3">
        <f>(K10-G10)/2</f>
        <v>117.5</v>
      </c>
      <c r="V10" s="3">
        <f>T10*T10-(8*U10*U10)</f>
        <v>592716.10249999992</v>
      </c>
      <c r="W10" s="3">
        <v>769.88</v>
      </c>
      <c r="X10" s="20">
        <f>(T10+W10)/4</f>
        <v>402.10749999999996</v>
      </c>
      <c r="Y10" s="15">
        <f>(N10-X10)*100/N10</f>
        <v>-11.696527777777767</v>
      </c>
    </row>
    <row r="11" spans="1:28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8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8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8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8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8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8"/>
  <sheetViews>
    <sheetView topLeftCell="B1" workbookViewId="0">
      <selection activeCell="J19" sqref="J19"/>
    </sheetView>
  </sheetViews>
  <sheetFormatPr defaultRowHeight="15.75" x14ac:dyDescent="0.25"/>
  <cols>
    <col min="1" max="1" width="8.7109375" style="1" customWidth="1"/>
    <col min="2" max="2" width="7.140625" style="1" customWidth="1"/>
    <col min="3" max="3" width="7.5703125" style="1" customWidth="1"/>
    <col min="4" max="5" width="7.7109375" style="1" customWidth="1"/>
    <col min="6" max="6" width="7.42578125" style="1" customWidth="1"/>
    <col min="7" max="7" width="8.85546875" style="1" customWidth="1"/>
    <col min="8" max="8" width="9.140625" style="1" customWidth="1"/>
    <col min="9" max="9" width="8.42578125" style="1" customWidth="1"/>
    <col min="10" max="10" width="9.28515625" style="1" customWidth="1"/>
    <col min="11" max="11" width="7.85546875" style="1" customWidth="1"/>
    <col min="12" max="12" width="8.140625" style="1" customWidth="1"/>
    <col min="13" max="13" width="8.28515625" style="1" customWidth="1"/>
    <col min="14" max="14" width="8.42578125" style="1" customWidth="1"/>
    <col min="15" max="15" width="12.42578125" style="1" customWidth="1"/>
    <col min="16" max="16" width="10.42578125" style="1" customWidth="1"/>
    <col min="17" max="17" width="9.42578125" style="1" customWidth="1"/>
    <col min="18" max="18" width="8.28515625" style="1" customWidth="1"/>
    <col min="19" max="19" width="8" style="1" customWidth="1"/>
    <col min="20" max="20" width="8.28515625" style="1" customWidth="1"/>
    <col min="21" max="21" width="7.28515625" style="1" customWidth="1"/>
    <col min="22" max="22" width="6.85546875" style="1" customWidth="1"/>
    <col min="23" max="23" width="7.42578125" style="1" customWidth="1"/>
    <col min="24" max="16384" width="9.140625" style="1"/>
  </cols>
  <sheetData>
    <row r="2" spans="1:24" ht="15.75" customHeight="1" x14ac:dyDescent="0.3">
      <c r="I2" s="6" t="s">
        <v>59</v>
      </c>
      <c r="J2" s="6"/>
      <c r="K2" s="7"/>
      <c r="L2" s="7"/>
      <c r="M2" s="7"/>
      <c r="N2" s="7"/>
      <c r="O2" s="7"/>
    </row>
    <row r="3" spans="1:24" x14ac:dyDescent="0.25">
      <c r="I3" s="7"/>
      <c r="J3" s="7"/>
      <c r="K3" s="7"/>
      <c r="L3" s="7"/>
      <c r="M3" s="7"/>
      <c r="N3" s="7"/>
      <c r="O3" s="7"/>
    </row>
    <row r="4" spans="1:24" x14ac:dyDescent="0.25">
      <c r="P4" s="18" t="s">
        <v>39</v>
      </c>
      <c r="Q4" s="18" t="s">
        <v>76</v>
      </c>
      <c r="R4" s="18" t="s">
        <v>21</v>
      </c>
      <c r="S4" s="18" t="s">
        <v>34</v>
      </c>
    </row>
    <row r="5" spans="1:24" ht="16.5" x14ac:dyDescent="0.25">
      <c r="A5" s="2" t="s">
        <v>3</v>
      </c>
      <c r="B5" s="3" t="s">
        <v>60</v>
      </c>
      <c r="C5" s="3" t="s">
        <v>61</v>
      </c>
      <c r="D5" s="3" t="s">
        <v>62</v>
      </c>
      <c r="E5" s="3" t="s">
        <v>77</v>
      </c>
      <c r="F5" s="3" t="s">
        <v>63</v>
      </c>
      <c r="G5" s="3" t="s">
        <v>64</v>
      </c>
      <c r="H5" s="3" t="s">
        <v>65</v>
      </c>
      <c r="I5" s="3" t="s">
        <v>66</v>
      </c>
      <c r="J5" s="3" t="s">
        <v>67</v>
      </c>
      <c r="K5" s="3" t="s">
        <v>68</v>
      </c>
      <c r="L5" s="3" t="s">
        <v>69</v>
      </c>
      <c r="M5" s="3" t="s">
        <v>70</v>
      </c>
      <c r="N5" s="24" t="s">
        <v>71</v>
      </c>
      <c r="O5" s="24" t="s">
        <v>72</v>
      </c>
      <c r="P5" s="3"/>
      <c r="Q5" s="3" t="s">
        <v>75</v>
      </c>
      <c r="R5" s="3" t="s">
        <v>75</v>
      </c>
      <c r="S5" s="3" t="s">
        <v>75</v>
      </c>
      <c r="T5" s="12" t="s">
        <v>53</v>
      </c>
      <c r="U5" s="12" t="s">
        <v>54</v>
      </c>
      <c r="V5" s="12" t="s">
        <v>55</v>
      </c>
      <c r="W5" s="3" t="s">
        <v>58</v>
      </c>
      <c r="X5" s="2"/>
    </row>
    <row r="6" spans="1:24" x14ac:dyDescent="0.25">
      <c r="A6" s="3"/>
      <c r="B6" s="3"/>
      <c r="C6" s="3"/>
      <c r="D6" s="3"/>
      <c r="E6" s="3"/>
      <c r="F6" s="3"/>
      <c r="G6" s="3"/>
      <c r="H6" s="25"/>
      <c r="I6" s="25"/>
      <c r="J6" s="25"/>
      <c r="K6" s="25">
        <v>200</v>
      </c>
      <c r="L6" s="3">
        <v>350</v>
      </c>
      <c r="M6" s="3">
        <v>250</v>
      </c>
      <c r="N6" s="3"/>
      <c r="O6" s="4"/>
      <c r="P6" s="3"/>
      <c r="Q6" s="3"/>
      <c r="R6" s="3"/>
      <c r="S6" s="2"/>
      <c r="T6" s="2"/>
      <c r="U6" s="2"/>
      <c r="V6" s="2"/>
      <c r="W6" s="2"/>
      <c r="X6" s="2"/>
    </row>
    <row r="7" spans="1:24" x14ac:dyDescent="0.25">
      <c r="A7" s="3" t="s">
        <v>73</v>
      </c>
      <c r="B7" s="25">
        <v>1640</v>
      </c>
      <c r="C7" s="25">
        <v>2100</v>
      </c>
      <c r="D7" s="3">
        <v>4500</v>
      </c>
      <c r="E7" s="3"/>
      <c r="F7" s="3">
        <v>6000</v>
      </c>
      <c r="G7" s="3"/>
      <c r="H7" s="4">
        <f>(-B7*K7+C7*N7)/0.8</f>
        <v>1033.75</v>
      </c>
      <c r="I7" s="4"/>
      <c r="J7" s="4">
        <f>B7-C7+H7</f>
        <v>573.75</v>
      </c>
      <c r="K7" s="16">
        <f>K6/1000</f>
        <v>0.2</v>
      </c>
      <c r="L7" s="16">
        <f t="shared" ref="L7:M7" si="0">L6/1000</f>
        <v>0.35</v>
      </c>
      <c r="M7" s="16">
        <f t="shared" si="0"/>
        <v>0.25</v>
      </c>
      <c r="N7" s="3">
        <f>K7+L7</f>
        <v>0.55000000000000004</v>
      </c>
      <c r="O7" s="4">
        <f>K7+L7+M7</f>
        <v>0.8</v>
      </c>
      <c r="P7" s="3"/>
      <c r="Q7" s="3"/>
      <c r="R7" s="2"/>
      <c r="S7" s="2"/>
      <c r="T7" s="2"/>
      <c r="U7" s="2"/>
      <c r="V7" s="2"/>
      <c r="W7" s="2"/>
      <c r="X7" s="2"/>
    </row>
    <row r="8" spans="1:24" x14ac:dyDescent="0.25">
      <c r="A8" s="3" t="s">
        <v>74</v>
      </c>
      <c r="B8" s="3"/>
      <c r="C8" s="3"/>
      <c r="D8" s="3">
        <v>4500</v>
      </c>
      <c r="E8" s="3"/>
      <c r="F8" s="3">
        <v>6000</v>
      </c>
      <c r="G8" s="12">
        <f>(D8*K8+F8*N7)/0.8</f>
        <v>5250</v>
      </c>
      <c r="H8" s="12"/>
      <c r="I8" s="12">
        <f>D8+F8-G8</f>
        <v>5250</v>
      </c>
      <c r="J8" s="2"/>
      <c r="K8" s="25">
        <f>K6/1000</f>
        <v>0.2</v>
      </c>
      <c r="L8" s="3">
        <f>L6/1000</f>
        <v>0.35</v>
      </c>
      <c r="M8" s="3">
        <f>M6/1000</f>
        <v>0.25</v>
      </c>
      <c r="N8" s="3">
        <f>K8+L8</f>
        <v>0.55000000000000004</v>
      </c>
      <c r="O8" s="4">
        <f>K8+L8+M8</f>
        <v>0.8</v>
      </c>
      <c r="P8" s="5"/>
      <c r="Q8" s="5"/>
      <c r="R8" s="4"/>
      <c r="S8" s="3"/>
      <c r="T8" s="3"/>
      <c r="U8" s="3"/>
      <c r="V8" s="3"/>
      <c r="W8" s="5"/>
      <c r="X8" s="2"/>
    </row>
    <row r="9" spans="1:24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2"/>
      <c r="Q9" s="2"/>
      <c r="R9" s="2"/>
      <c r="S9" s="2"/>
      <c r="T9" s="2"/>
      <c r="U9" s="2"/>
      <c r="V9" s="2"/>
      <c r="W9" s="2"/>
      <c r="X9" s="2"/>
    </row>
    <row r="10" spans="1:24" x14ac:dyDescent="0.25">
      <c r="A10" s="2"/>
      <c r="B10" s="2"/>
      <c r="C10" s="2"/>
      <c r="D10" s="2"/>
      <c r="E10" s="2"/>
      <c r="F10" s="2"/>
      <c r="G10" s="2"/>
      <c r="H10" s="3"/>
      <c r="I10" s="3"/>
      <c r="J10" s="3"/>
      <c r="K10" s="3">
        <v>250</v>
      </c>
      <c r="L10" s="3">
        <v>350</v>
      </c>
      <c r="M10" s="3">
        <v>150</v>
      </c>
      <c r="N10" s="4"/>
      <c r="O10" s="4"/>
      <c r="P10" s="5"/>
      <c r="Q10" s="5"/>
      <c r="R10" s="2"/>
      <c r="S10" s="2"/>
      <c r="T10" s="2"/>
      <c r="U10" s="2"/>
      <c r="V10" s="2"/>
      <c r="W10" s="2"/>
      <c r="X10" s="2"/>
    </row>
    <row r="11" spans="1:24" x14ac:dyDescent="0.25">
      <c r="A11" s="3" t="s">
        <v>73</v>
      </c>
      <c r="B11" s="3">
        <v>2000</v>
      </c>
      <c r="C11" s="3"/>
      <c r="D11" s="3">
        <v>4500</v>
      </c>
      <c r="E11" s="3">
        <v>800</v>
      </c>
      <c r="F11" s="3"/>
      <c r="G11" s="3"/>
      <c r="H11" s="4">
        <f>(B11*K11+E11*O11)/0.6</f>
        <v>1833.3333333333335</v>
      </c>
      <c r="I11" s="4"/>
      <c r="J11" s="4">
        <f>D11-H11+E11</f>
        <v>3466.6666666666665</v>
      </c>
      <c r="K11" s="16">
        <f>K10/1000</f>
        <v>0.25</v>
      </c>
      <c r="L11" s="16">
        <f t="shared" ref="L11:M11" si="1">L10/1000</f>
        <v>0.35</v>
      </c>
      <c r="M11" s="16">
        <f t="shared" si="1"/>
        <v>0.15</v>
      </c>
      <c r="N11" s="3">
        <f>K11+L11</f>
        <v>0.6</v>
      </c>
      <c r="O11" s="4">
        <f>K11+L11+M11</f>
        <v>0.75</v>
      </c>
      <c r="P11" s="2"/>
      <c r="Q11" s="3">
        <f>J11-D11</f>
        <v>-1033.3333333333335</v>
      </c>
      <c r="R11" s="3">
        <f>Q11+H11</f>
        <v>800</v>
      </c>
      <c r="S11" s="3">
        <f>R11-E11</f>
        <v>0</v>
      </c>
      <c r="T11" s="2"/>
      <c r="U11" s="2"/>
      <c r="V11" s="2"/>
      <c r="W11" s="2"/>
      <c r="X11" s="2"/>
    </row>
    <row r="12" spans="1:24" x14ac:dyDescent="0.25">
      <c r="A12" s="3" t="s">
        <v>74</v>
      </c>
      <c r="B12" s="3"/>
      <c r="C12" s="3"/>
      <c r="D12" s="3"/>
      <c r="E12" s="3"/>
      <c r="F12" s="3"/>
      <c r="G12" s="12">
        <f>(D11*K11)/0.6</f>
        <v>1875</v>
      </c>
      <c r="H12" s="12"/>
      <c r="I12" s="12">
        <f>D11-G12</f>
        <v>2625</v>
      </c>
      <c r="J12" s="2"/>
      <c r="K12" s="3"/>
      <c r="L12" s="3"/>
      <c r="M12" s="3"/>
      <c r="N12" s="4"/>
      <c r="O12" s="4"/>
      <c r="P12" s="5"/>
      <c r="Q12" s="3">
        <f>I12-D11</f>
        <v>-1875</v>
      </c>
      <c r="R12" s="3">
        <f>Q12+G12</f>
        <v>0</v>
      </c>
      <c r="S12" s="2"/>
      <c r="T12" s="2"/>
      <c r="U12" s="2"/>
      <c r="V12" s="2"/>
      <c r="W12" s="2"/>
      <c r="X12" s="2"/>
    </row>
    <row r="13" spans="1:2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7"/>
  <sheetViews>
    <sheetView tabSelected="1" workbookViewId="0">
      <selection activeCell="J18" sqref="J18"/>
    </sheetView>
  </sheetViews>
  <sheetFormatPr defaultRowHeight="15.75" x14ac:dyDescent="0.25"/>
  <cols>
    <col min="1" max="1" width="10.28515625" style="1" customWidth="1"/>
    <col min="2" max="4" width="5.7109375" style="1" customWidth="1"/>
    <col min="5" max="5" width="10.5703125" style="1" customWidth="1"/>
    <col min="6" max="6" width="9" style="1" customWidth="1"/>
    <col min="7" max="7" width="13.140625" style="1" customWidth="1"/>
    <col min="8" max="8" width="14.5703125" style="1" customWidth="1"/>
    <col min="9" max="9" width="13.5703125" style="1" customWidth="1"/>
    <col min="10" max="10" width="16.28515625" style="1" customWidth="1"/>
    <col min="11" max="11" width="10.42578125" style="1" customWidth="1"/>
    <col min="12" max="12" width="8.140625" style="1" customWidth="1"/>
    <col min="13" max="13" width="10.140625" style="1" customWidth="1"/>
    <col min="14" max="14" width="11.140625" style="1" customWidth="1"/>
    <col min="15" max="15" width="14.140625" style="1" customWidth="1"/>
    <col min="16" max="16" width="8.5703125" style="1" customWidth="1"/>
    <col min="17" max="17" width="8.7109375" style="1" customWidth="1"/>
    <col min="18" max="18" width="7.140625" style="1" customWidth="1"/>
    <col min="19" max="19" width="9.42578125" style="1" customWidth="1"/>
    <col min="20" max="20" width="8.28515625" style="1" customWidth="1"/>
    <col min="21" max="21" width="7.28515625" style="1" customWidth="1"/>
    <col min="22" max="22" width="6.85546875" style="1" customWidth="1"/>
    <col min="23" max="23" width="7.42578125" style="1" customWidth="1"/>
    <col min="24" max="16384" width="9.140625" style="1"/>
  </cols>
  <sheetData>
    <row r="2" spans="1:24" ht="15.75" customHeight="1" x14ac:dyDescent="0.3">
      <c r="D2" s="1" t="s">
        <v>161</v>
      </c>
      <c r="F2" s="1" t="s">
        <v>162</v>
      </c>
      <c r="I2" s="6" t="s">
        <v>136</v>
      </c>
      <c r="J2" s="6"/>
      <c r="K2" s="7"/>
      <c r="L2" s="7"/>
      <c r="M2" s="7"/>
      <c r="N2" s="7"/>
      <c r="O2" s="7"/>
    </row>
    <row r="3" spans="1:24" x14ac:dyDescent="0.25">
      <c r="C3" s="1" t="s">
        <v>155</v>
      </c>
      <c r="D3" s="1" t="s">
        <v>145</v>
      </c>
      <c r="F3" s="1" t="s">
        <v>146</v>
      </c>
      <c r="I3" s="7"/>
      <c r="J3" s="7"/>
      <c r="K3" s="7"/>
      <c r="L3" s="7"/>
      <c r="M3" s="7"/>
      <c r="N3" s="7"/>
      <c r="O3" s="7"/>
    </row>
    <row r="4" spans="1:24" x14ac:dyDescent="0.25">
      <c r="K4" s="18" t="s">
        <v>157</v>
      </c>
      <c r="N4" s="1" t="s">
        <v>156</v>
      </c>
      <c r="O4" s="18" t="s">
        <v>158</v>
      </c>
    </row>
    <row r="5" spans="1:24" ht="16.5" x14ac:dyDescent="0.25">
      <c r="A5" s="2" t="s">
        <v>3</v>
      </c>
      <c r="B5" s="3" t="s">
        <v>137</v>
      </c>
      <c r="C5" s="3" t="s">
        <v>45</v>
      </c>
      <c r="D5" s="3" t="s">
        <v>21</v>
      </c>
      <c r="E5" s="3" t="s">
        <v>138</v>
      </c>
      <c r="F5" s="3" t="s">
        <v>139</v>
      </c>
      <c r="G5" s="3" t="s">
        <v>140</v>
      </c>
      <c r="H5" s="16" t="s">
        <v>141</v>
      </c>
      <c r="I5" s="39" t="s">
        <v>159</v>
      </c>
      <c r="J5" s="39"/>
      <c r="K5" s="3" t="s">
        <v>149</v>
      </c>
      <c r="L5" s="3">
        <v>0.1</v>
      </c>
      <c r="M5" s="3" t="s">
        <v>150</v>
      </c>
      <c r="N5" s="24" t="s">
        <v>151</v>
      </c>
      <c r="O5" s="9" t="s">
        <v>148</v>
      </c>
      <c r="P5" s="3"/>
      <c r="Q5" s="3"/>
      <c r="R5" s="26"/>
      <c r="S5" s="27"/>
      <c r="T5" s="12"/>
      <c r="U5" s="12"/>
      <c r="V5" s="12"/>
      <c r="W5" s="3"/>
      <c r="X5" s="2"/>
    </row>
    <row r="6" spans="1:24" x14ac:dyDescent="0.25">
      <c r="A6" s="12" t="s">
        <v>142</v>
      </c>
      <c r="B6" s="3">
        <v>0.2</v>
      </c>
      <c r="C6" s="3">
        <v>5</v>
      </c>
      <c r="D6" s="3"/>
      <c r="E6" s="3">
        <f t="shared" ref="E6:E11" si="0">B6*C6^3</f>
        <v>25</v>
      </c>
      <c r="F6" s="3">
        <v>12000</v>
      </c>
      <c r="G6" s="3">
        <f t="shared" ref="G6:G11" si="1">F6/E6</f>
        <v>480</v>
      </c>
      <c r="H6" s="25">
        <v>60</v>
      </c>
      <c r="I6" s="39">
        <f>180/3.14</f>
        <v>57.324840764331206</v>
      </c>
      <c r="J6" s="39"/>
      <c r="K6" s="25">
        <v>8000</v>
      </c>
      <c r="L6" s="3">
        <v>0.1</v>
      </c>
      <c r="M6" s="3">
        <f>C6^4</f>
        <v>625</v>
      </c>
      <c r="N6" s="3">
        <f>L6*M6</f>
        <v>62.5</v>
      </c>
      <c r="O6" s="4">
        <f>I6*F6/(K6*N6)</f>
        <v>1.375796178343949</v>
      </c>
      <c r="P6" s="3"/>
      <c r="Q6" s="3"/>
      <c r="R6" s="3"/>
      <c r="S6" s="2"/>
      <c r="T6" s="2"/>
      <c r="U6" s="2"/>
      <c r="V6" s="2"/>
      <c r="W6" s="2"/>
      <c r="X6" s="2"/>
    </row>
    <row r="7" spans="1:24" x14ac:dyDescent="0.25">
      <c r="A7" s="3"/>
      <c r="B7" s="3">
        <v>0.2</v>
      </c>
      <c r="C7" s="3">
        <v>6</v>
      </c>
      <c r="D7" s="3"/>
      <c r="E7" s="3">
        <f t="shared" si="0"/>
        <v>43.2</v>
      </c>
      <c r="F7" s="3">
        <v>1000</v>
      </c>
      <c r="G7" s="3">
        <f t="shared" si="1"/>
        <v>23.148148148148145</v>
      </c>
      <c r="H7" s="25">
        <v>60</v>
      </c>
      <c r="I7" s="39">
        <f>180/3.14</f>
        <v>57.324840764331206</v>
      </c>
      <c r="J7" s="39"/>
      <c r="K7" s="25">
        <v>9000</v>
      </c>
      <c r="L7" s="3">
        <v>0.1</v>
      </c>
      <c r="M7" s="3">
        <f>C7^4</f>
        <v>1296</v>
      </c>
      <c r="N7" s="3">
        <f>L7*M7</f>
        <v>129.6</v>
      </c>
      <c r="O7" s="4">
        <f>(I7*F7)/(K7*N7)</f>
        <v>4.9146811354879298E-2</v>
      </c>
      <c r="P7" s="3">
        <v>1.105</v>
      </c>
      <c r="Q7" s="3"/>
      <c r="R7" s="3"/>
      <c r="S7" s="2"/>
      <c r="T7" s="2"/>
      <c r="U7" s="2"/>
      <c r="V7" s="2"/>
      <c r="W7" s="2"/>
      <c r="X7" s="2"/>
    </row>
    <row r="8" spans="1:24" x14ac:dyDescent="0.25">
      <c r="A8" s="3" t="s">
        <v>160</v>
      </c>
      <c r="B8" s="3">
        <v>0.2</v>
      </c>
      <c r="C8" s="3">
        <v>5</v>
      </c>
      <c r="D8" s="3"/>
      <c r="E8" s="3">
        <f t="shared" si="0"/>
        <v>25</v>
      </c>
      <c r="F8" s="12">
        <v>800</v>
      </c>
      <c r="G8" s="3">
        <f t="shared" si="1"/>
        <v>32</v>
      </c>
      <c r="H8" s="40">
        <v>40</v>
      </c>
      <c r="I8" s="39">
        <f>180/3.14</f>
        <v>57.324840764331206</v>
      </c>
      <c r="J8" s="39"/>
      <c r="K8" s="25">
        <v>9000</v>
      </c>
      <c r="L8" s="3">
        <v>0.1</v>
      </c>
      <c r="M8" s="3">
        <f>C8^4</f>
        <v>625</v>
      </c>
      <c r="N8" s="3">
        <f>L8*M8</f>
        <v>62.5</v>
      </c>
      <c r="O8" s="4">
        <f>I8*F8/(K8*N8)</f>
        <v>8.1528662420382148E-2</v>
      </c>
      <c r="P8" s="3" t="s">
        <v>154</v>
      </c>
      <c r="Q8" s="3"/>
      <c r="R8" s="3"/>
      <c r="S8" s="2"/>
      <c r="T8" s="2"/>
      <c r="U8" s="2"/>
      <c r="V8" s="2"/>
      <c r="W8" s="2"/>
      <c r="X8" s="2"/>
    </row>
    <row r="9" spans="1:24" x14ac:dyDescent="0.25">
      <c r="A9" s="12" t="s">
        <v>153</v>
      </c>
      <c r="B9" s="3">
        <v>0.2</v>
      </c>
      <c r="C9" s="3">
        <v>5</v>
      </c>
      <c r="D9" s="3"/>
      <c r="E9" s="3">
        <f t="shared" si="0"/>
        <v>25</v>
      </c>
      <c r="F9" s="3">
        <v>1200</v>
      </c>
      <c r="G9" s="3">
        <f t="shared" si="1"/>
        <v>48</v>
      </c>
      <c r="H9" s="25"/>
      <c r="I9" s="39"/>
      <c r="J9" s="39"/>
      <c r="K9" s="25"/>
      <c r="L9" s="3"/>
      <c r="M9" s="3"/>
      <c r="N9" s="3"/>
      <c r="O9" s="4"/>
      <c r="P9" s="3"/>
      <c r="Q9" s="3"/>
      <c r="R9" s="3"/>
      <c r="S9" s="2"/>
      <c r="T9" s="2"/>
      <c r="U9" s="2"/>
      <c r="V9" s="2"/>
      <c r="W9" s="2"/>
      <c r="X9" s="2"/>
    </row>
    <row r="10" spans="1:24" x14ac:dyDescent="0.25">
      <c r="A10" s="12"/>
      <c r="B10" s="3">
        <v>0.2</v>
      </c>
      <c r="C10" s="3">
        <v>5</v>
      </c>
      <c r="D10" s="3"/>
      <c r="E10" s="3">
        <f t="shared" si="0"/>
        <v>25</v>
      </c>
      <c r="F10" s="3">
        <v>70000</v>
      </c>
      <c r="G10" s="3">
        <f t="shared" si="1"/>
        <v>2800</v>
      </c>
      <c r="H10" s="25">
        <v>3000</v>
      </c>
      <c r="I10" s="39"/>
      <c r="J10" s="39"/>
      <c r="K10" s="25"/>
      <c r="L10" s="3"/>
      <c r="M10" s="3"/>
      <c r="N10" s="3"/>
      <c r="O10" s="4"/>
      <c r="P10" s="3"/>
      <c r="Q10" s="3"/>
      <c r="R10" s="3"/>
      <c r="S10" s="2"/>
      <c r="T10" s="2"/>
      <c r="U10" s="2"/>
      <c r="V10" s="2"/>
      <c r="W10" s="2"/>
      <c r="X10" s="2"/>
    </row>
    <row r="11" spans="1:24" x14ac:dyDescent="0.25">
      <c r="A11" s="12" t="s">
        <v>160</v>
      </c>
      <c r="B11" s="3">
        <v>0.2</v>
      </c>
      <c r="C11" s="3">
        <v>5</v>
      </c>
      <c r="D11" s="3"/>
      <c r="E11" s="3">
        <f t="shared" si="0"/>
        <v>25</v>
      </c>
      <c r="F11" s="3">
        <v>2200</v>
      </c>
      <c r="G11" s="3">
        <f t="shared" si="1"/>
        <v>88</v>
      </c>
      <c r="H11" s="25">
        <v>90</v>
      </c>
      <c r="I11" s="39">
        <f>180/3.14</f>
        <v>57.324840764331206</v>
      </c>
      <c r="J11" s="39"/>
      <c r="K11" s="25">
        <v>9000</v>
      </c>
      <c r="L11" s="3">
        <v>0.1</v>
      </c>
      <c r="M11" s="3">
        <f>C11^4</f>
        <v>625</v>
      </c>
      <c r="N11" s="3">
        <f>L11*M11</f>
        <v>62.5</v>
      </c>
      <c r="O11" s="4">
        <f>I11*F11/(K11*N11)</f>
        <v>0.22420382165605093</v>
      </c>
      <c r="P11" s="3"/>
      <c r="Q11" s="3"/>
      <c r="R11" s="3"/>
      <c r="S11" s="2"/>
      <c r="T11" s="2"/>
      <c r="U11" s="2"/>
      <c r="V11" s="2"/>
      <c r="W11" s="2"/>
      <c r="X11" s="2"/>
    </row>
    <row r="12" spans="1:24" x14ac:dyDescent="0.25">
      <c r="A12" s="3"/>
      <c r="B12" s="3"/>
      <c r="C12" s="3"/>
      <c r="D12" s="3"/>
      <c r="E12" s="3"/>
      <c r="F12" s="3"/>
      <c r="G12" s="3"/>
      <c r="H12" s="25"/>
      <c r="I12" s="39"/>
      <c r="J12" s="39"/>
      <c r="K12" s="25"/>
      <c r="L12" s="3"/>
      <c r="M12" s="3"/>
      <c r="N12" s="3"/>
      <c r="O12" s="4"/>
      <c r="P12" s="3"/>
      <c r="Q12" s="3"/>
      <c r="R12" s="3"/>
      <c r="S12" s="2"/>
      <c r="T12" s="2"/>
      <c r="U12" s="2"/>
      <c r="V12" s="2"/>
      <c r="W12" s="2"/>
      <c r="X12" s="2"/>
    </row>
    <row r="13" spans="1:24" x14ac:dyDescent="0.25">
      <c r="A13" s="3"/>
      <c r="B13" s="3"/>
      <c r="C13" s="3"/>
      <c r="D13" s="3"/>
      <c r="E13" s="3"/>
      <c r="F13" s="3"/>
      <c r="G13" s="3"/>
      <c r="H13" s="25"/>
      <c r="I13" s="25"/>
      <c r="J13" s="25"/>
      <c r="K13" s="25"/>
      <c r="L13" s="3"/>
      <c r="M13" s="3"/>
      <c r="N13" s="3"/>
      <c r="O13" s="4"/>
      <c r="P13" s="3"/>
      <c r="Q13" s="3"/>
      <c r="R13" s="3"/>
      <c r="S13" s="2"/>
      <c r="T13" s="2"/>
      <c r="U13" s="2"/>
      <c r="V13" s="2"/>
      <c r="W13" s="2"/>
      <c r="X13" s="2"/>
    </row>
    <row r="14" spans="1:24" x14ac:dyDescent="0.25">
      <c r="A14" s="12" t="s">
        <v>143</v>
      </c>
      <c r="B14" s="3"/>
      <c r="C14" s="3" t="s">
        <v>45</v>
      </c>
      <c r="D14" s="3" t="s">
        <v>21</v>
      </c>
      <c r="E14" s="9" t="s">
        <v>18</v>
      </c>
      <c r="F14" s="9" t="s">
        <v>144</v>
      </c>
      <c r="G14" s="3" t="s">
        <v>147</v>
      </c>
      <c r="H14" s="3" t="s">
        <v>138</v>
      </c>
      <c r="I14" s="3" t="s">
        <v>139</v>
      </c>
      <c r="J14" s="3" t="s">
        <v>140</v>
      </c>
      <c r="K14" s="25" t="s">
        <v>149</v>
      </c>
      <c r="L14" s="3">
        <v>0.1</v>
      </c>
      <c r="M14" s="3" t="s">
        <v>152</v>
      </c>
      <c r="N14" s="3" t="s">
        <v>151</v>
      </c>
      <c r="O14" s="9" t="s">
        <v>148</v>
      </c>
      <c r="P14" s="3"/>
      <c r="Q14" s="3"/>
      <c r="R14" s="2"/>
      <c r="S14" s="2"/>
      <c r="T14" s="2"/>
      <c r="U14" s="2"/>
      <c r="V14" s="2"/>
      <c r="W14" s="2"/>
      <c r="X14" s="2"/>
    </row>
    <row r="15" spans="1:24" x14ac:dyDescent="0.25">
      <c r="A15" s="3"/>
      <c r="B15" s="3">
        <v>0.2</v>
      </c>
      <c r="C15" s="3">
        <v>7</v>
      </c>
      <c r="D15" s="3">
        <v>10</v>
      </c>
      <c r="E15" s="3">
        <f>C15/D15</f>
        <v>0.7</v>
      </c>
      <c r="F15" s="3">
        <f>E15^4</f>
        <v>0.24009999999999992</v>
      </c>
      <c r="G15" s="3">
        <f>1-F15</f>
        <v>0.75990000000000002</v>
      </c>
      <c r="H15" s="3">
        <f>B15*D15^3*G15</f>
        <v>151.98000000000002</v>
      </c>
      <c r="I15" s="3">
        <v>15000</v>
      </c>
      <c r="J15" s="3">
        <f>I15/H15</f>
        <v>98.697196999605197</v>
      </c>
      <c r="K15" s="3">
        <v>800000000</v>
      </c>
      <c r="L15" s="3">
        <v>0.1</v>
      </c>
      <c r="M15" s="3">
        <f>D15^4</f>
        <v>10000</v>
      </c>
      <c r="N15" s="4">
        <f>L15*M15*G15</f>
        <v>759.9</v>
      </c>
      <c r="O15" s="4">
        <f>I7*I15*N15*K15</f>
        <v>5.2273375796178342E+17</v>
      </c>
      <c r="P15" s="5"/>
      <c r="Q15" s="5"/>
      <c r="R15" s="4"/>
      <c r="S15" s="3"/>
      <c r="T15" s="3"/>
      <c r="U15" s="3"/>
      <c r="V15" s="3"/>
      <c r="W15" s="5"/>
      <c r="X15" s="2"/>
    </row>
    <row r="16" spans="1:24" x14ac:dyDescent="0.25">
      <c r="A16" s="3"/>
      <c r="B16" s="3">
        <v>0.2</v>
      </c>
      <c r="C16" s="3">
        <v>7</v>
      </c>
      <c r="D16" s="3">
        <v>8</v>
      </c>
      <c r="E16" s="3">
        <f>C16/D16</f>
        <v>0.875</v>
      </c>
      <c r="F16" s="3">
        <f>E16^4</f>
        <v>0.586181640625</v>
      </c>
      <c r="G16" s="3">
        <f>1-F16</f>
        <v>0.413818359375</v>
      </c>
      <c r="H16" s="3">
        <f>B16*D16^3*G16</f>
        <v>42.375</v>
      </c>
      <c r="I16" s="3">
        <v>18000</v>
      </c>
      <c r="J16" s="3">
        <f>I16/H16</f>
        <v>424.77876106194691</v>
      </c>
      <c r="K16" s="25">
        <v>8000000</v>
      </c>
      <c r="L16" s="3">
        <v>0.1</v>
      </c>
      <c r="M16" s="3">
        <f>C16^4</f>
        <v>2401</v>
      </c>
      <c r="N16" s="3">
        <f>L16*M16</f>
        <v>240.10000000000002</v>
      </c>
      <c r="O16" s="4">
        <f>I16*F16/K16*N16</f>
        <v>0.31666997680664066</v>
      </c>
      <c r="P16" s="5"/>
      <c r="Q16" s="5"/>
      <c r="R16" s="4"/>
      <c r="S16" s="3"/>
      <c r="T16" s="3"/>
      <c r="U16" s="3"/>
      <c r="V16" s="3"/>
      <c r="W16" s="5"/>
      <c r="X16" s="2"/>
    </row>
    <row r="17" spans="1:24" x14ac:dyDescent="0.25">
      <c r="A17" s="3"/>
      <c r="B17" s="3">
        <v>0.2</v>
      </c>
      <c r="C17" s="3">
        <v>5</v>
      </c>
      <c r="D17" s="3">
        <v>8</v>
      </c>
      <c r="E17" s="3">
        <f>C17/D17</f>
        <v>0.625</v>
      </c>
      <c r="F17" s="3">
        <f>E17^4</f>
        <v>0.152587890625</v>
      </c>
      <c r="G17" s="3">
        <f>1-F17</f>
        <v>0.847412109375</v>
      </c>
      <c r="H17" s="3">
        <f>B17*D17^3*G17</f>
        <v>86.775000000000006</v>
      </c>
      <c r="I17" s="3">
        <v>12000</v>
      </c>
      <c r="J17" s="3">
        <f>I17/H17</f>
        <v>138.28867761452031</v>
      </c>
      <c r="K17" s="25"/>
      <c r="L17" s="3"/>
      <c r="M17" s="3"/>
      <c r="N17" s="3"/>
      <c r="O17" s="4"/>
      <c r="P17" s="5"/>
      <c r="Q17" s="5"/>
      <c r="R17" s="4"/>
      <c r="S17" s="3"/>
      <c r="T17" s="3"/>
      <c r="U17" s="3"/>
      <c r="V17" s="3"/>
      <c r="W17" s="5"/>
      <c r="X17" s="2"/>
    </row>
    <row r="18" spans="1:24" x14ac:dyDescent="0.25">
      <c r="A18" s="3"/>
      <c r="B18" s="3"/>
      <c r="C18" s="3">
        <v>5</v>
      </c>
      <c r="D18" s="3">
        <v>10</v>
      </c>
      <c r="E18" s="3">
        <f>C18/D18</f>
        <v>0.5</v>
      </c>
      <c r="F18" s="3">
        <f>E18^4</f>
        <v>6.25E-2</v>
      </c>
      <c r="G18" s="3">
        <f>1-F18</f>
        <v>0.9375</v>
      </c>
      <c r="H18" s="3">
        <f>B18*D18^3*G18</f>
        <v>0</v>
      </c>
      <c r="I18" s="3">
        <v>12000</v>
      </c>
      <c r="J18" s="3"/>
      <c r="K18" s="3"/>
      <c r="L18" s="3"/>
      <c r="M18" s="3"/>
      <c r="N18" s="3"/>
      <c r="O18" s="3"/>
      <c r="P18" s="2"/>
      <c r="Q18" s="2"/>
      <c r="R18" s="2"/>
      <c r="S18" s="2"/>
      <c r="T18" s="2"/>
      <c r="U18" s="2"/>
      <c r="V18" s="2"/>
      <c r="W18" s="2"/>
      <c r="X18" s="2"/>
    </row>
    <row r="19" spans="1:24" x14ac:dyDescent="0.25">
      <c r="A19" s="2"/>
      <c r="B19" s="2">
        <v>0.2</v>
      </c>
      <c r="C19" s="3">
        <v>0.05</v>
      </c>
      <c r="D19" s="2"/>
      <c r="E19" s="3">
        <f>B19*C19^3</f>
        <v>2.5000000000000008E-5</v>
      </c>
      <c r="F19" s="3">
        <v>6000</v>
      </c>
      <c r="G19" s="3">
        <f>F19/E19</f>
        <v>239999999.99999991</v>
      </c>
      <c r="H19" s="3"/>
      <c r="I19" s="3"/>
      <c r="J19" s="3"/>
      <c r="K19" s="3"/>
      <c r="L19" s="3"/>
      <c r="M19" s="3"/>
      <c r="N19" s="4"/>
      <c r="O19" s="4"/>
      <c r="P19" s="5"/>
      <c r="Q19" s="5"/>
      <c r="R19" s="2"/>
      <c r="S19" s="2"/>
      <c r="T19" s="2"/>
      <c r="U19" s="2"/>
      <c r="V19" s="2"/>
      <c r="W19" s="2"/>
      <c r="X19" s="2"/>
    </row>
    <row r="20" spans="1:24" x14ac:dyDescent="0.25">
      <c r="A20" s="3"/>
      <c r="B20" s="3">
        <v>0.2</v>
      </c>
      <c r="C20" s="3">
        <v>8</v>
      </c>
      <c r="D20" s="3"/>
      <c r="E20" s="3">
        <f>B20*C20^3</f>
        <v>102.4</v>
      </c>
      <c r="F20" s="3">
        <v>8000</v>
      </c>
      <c r="G20" s="3">
        <f>F20/E20</f>
        <v>78.125</v>
      </c>
      <c r="H20" s="3"/>
      <c r="I20" s="3"/>
      <c r="J20" s="3"/>
      <c r="K20" s="3"/>
      <c r="L20" s="3"/>
      <c r="M20" s="3"/>
      <c r="N20" s="3"/>
      <c r="O20" s="3"/>
      <c r="P20" s="2"/>
      <c r="Q20" s="2"/>
      <c r="R20" s="2"/>
      <c r="S20" s="2"/>
      <c r="T20" s="2"/>
      <c r="U20" s="2"/>
      <c r="V20" s="2"/>
      <c r="W20" s="2"/>
      <c r="X20" s="2"/>
    </row>
    <row r="21" spans="1:24" x14ac:dyDescent="0.25">
      <c r="A21" s="3"/>
      <c r="B21" s="3">
        <v>0.2</v>
      </c>
      <c r="C21" s="3">
        <v>9</v>
      </c>
      <c r="D21" s="3"/>
      <c r="E21" s="3">
        <f>B21*C21^3</f>
        <v>145.80000000000001</v>
      </c>
      <c r="F21" s="3">
        <v>15000</v>
      </c>
      <c r="G21" s="3">
        <f>F21/E21</f>
        <v>102.88065843621398</v>
      </c>
      <c r="H21" s="3"/>
      <c r="I21" s="2"/>
      <c r="J21" s="2"/>
      <c r="K21" s="3"/>
      <c r="L21" s="3"/>
      <c r="M21" s="3"/>
      <c r="N21" s="4"/>
      <c r="O21" s="4"/>
      <c r="P21" s="5"/>
      <c r="Q21" s="5"/>
      <c r="R21" s="2"/>
      <c r="S21" s="2"/>
      <c r="T21" s="2"/>
      <c r="U21" s="2"/>
      <c r="V21" s="2"/>
      <c r="W21" s="2"/>
      <c r="X21" s="2"/>
    </row>
    <row r="22" spans="1:24" x14ac:dyDescent="0.25">
      <c r="A22" s="2"/>
      <c r="B22" s="2">
        <v>0.2</v>
      </c>
      <c r="C22" s="3">
        <v>5</v>
      </c>
      <c r="D22" s="2"/>
      <c r="E22" s="3">
        <f>B22*C22^3</f>
        <v>25</v>
      </c>
      <c r="F22" s="2">
        <v>90000</v>
      </c>
      <c r="G22" s="3">
        <f>F22/E22</f>
        <v>3600</v>
      </c>
      <c r="H22" s="12">
        <v>3700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8"/>
  <sheetViews>
    <sheetView workbookViewId="0">
      <selection activeCell="F20" sqref="F20"/>
    </sheetView>
  </sheetViews>
  <sheetFormatPr defaultRowHeight="15.75" x14ac:dyDescent="0.25"/>
  <cols>
    <col min="1" max="6" width="5.7109375" style="1" customWidth="1"/>
    <col min="7" max="7" width="6.7109375" style="1" customWidth="1"/>
    <col min="8" max="9" width="7.7109375" style="1" customWidth="1"/>
    <col min="10" max="10" width="7.85546875" style="1" customWidth="1"/>
    <col min="11" max="11" width="8.140625" style="1" customWidth="1"/>
    <col min="12" max="12" width="8.28515625" style="1" customWidth="1"/>
    <col min="13" max="13" width="8.42578125" style="1" customWidth="1"/>
    <col min="14" max="15" width="8.5703125" style="1" customWidth="1"/>
    <col min="16" max="16" width="8.7109375" style="1" customWidth="1"/>
    <col min="17" max="17" width="7.140625" style="1" customWidth="1"/>
    <col min="18" max="18" width="9.42578125" style="1" customWidth="1"/>
    <col min="19" max="19" width="8.28515625" style="1" customWidth="1"/>
    <col min="20" max="20" width="7.28515625" style="1" customWidth="1"/>
    <col min="21" max="21" width="6.85546875" style="1" customWidth="1"/>
    <col min="22" max="22" width="7.42578125" style="1" customWidth="1"/>
    <col min="23" max="16384" width="9.140625" style="1"/>
  </cols>
  <sheetData>
    <row r="2" spans="1:23" ht="15.75" customHeight="1" x14ac:dyDescent="0.3">
      <c r="H2" s="6" t="s">
        <v>40</v>
      </c>
      <c r="I2" s="6"/>
      <c r="J2" s="7"/>
      <c r="K2" s="7"/>
      <c r="L2" s="7"/>
      <c r="M2" s="7"/>
      <c r="N2" s="7"/>
    </row>
    <row r="3" spans="1:23" x14ac:dyDescent="0.25">
      <c r="H3" s="7"/>
      <c r="I3" s="7"/>
      <c r="J3" s="7"/>
      <c r="K3" s="7"/>
      <c r="L3" s="7"/>
      <c r="M3" s="7"/>
      <c r="N3" s="7"/>
    </row>
    <row r="5" spans="1:23" ht="16.5" x14ac:dyDescent="0.25">
      <c r="A5" s="2" t="s">
        <v>3</v>
      </c>
      <c r="B5" s="3" t="s">
        <v>45</v>
      </c>
      <c r="C5" s="3" t="s">
        <v>21</v>
      </c>
      <c r="D5" s="3" t="s">
        <v>26</v>
      </c>
      <c r="E5" s="3" t="s">
        <v>41</v>
      </c>
      <c r="F5" s="3" t="s">
        <v>42</v>
      </c>
      <c r="G5" s="16" t="s">
        <v>18</v>
      </c>
      <c r="H5" s="16" t="s">
        <v>46</v>
      </c>
      <c r="I5" s="16" t="s">
        <v>47</v>
      </c>
      <c r="J5" s="3" t="s">
        <v>50</v>
      </c>
      <c r="K5" s="3" t="s">
        <v>48</v>
      </c>
      <c r="L5" s="3" t="s">
        <v>43</v>
      </c>
      <c r="M5" s="24" t="s">
        <v>44</v>
      </c>
      <c r="N5" s="3" t="s">
        <v>49</v>
      </c>
      <c r="O5" s="3" t="s">
        <v>57</v>
      </c>
      <c r="P5" s="3" t="s">
        <v>56</v>
      </c>
      <c r="Q5" s="26" t="s">
        <v>51</v>
      </c>
      <c r="R5" s="27" t="s">
        <v>52</v>
      </c>
      <c r="S5" s="12" t="s">
        <v>53</v>
      </c>
      <c r="T5" s="12" t="s">
        <v>54</v>
      </c>
      <c r="U5" s="12" t="s">
        <v>55</v>
      </c>
      <c r="V5" s="3" t="s">
        <v>58</v>
      </c>
      <c r="W5" s="2"/>
    </row>
    <row r="6" spans="1:23" x14ac:dyDescent="0.25">
      <c r="A6" s="3">
        <v>1</v>
      </c>
      <c r="B6" s="3">
        <v>0.3</v>
      </c>
      <c r="C6" s="3">
        <v>0.6</v>
      </c>
      <c r="D6" s="3">
        <v>4</v>
      </c>
      <c r="E6" s="3">
        <v>-4</v>
      </c>
      <c r="F6" s="3">
        <v>-2</v>
      </c>
      <c r="G6" s="25">
        <v>0.4</v>
      </c>
      <c r="H6" s="25">
        <v>0.6</v>
      </c>
      <c r="I6" s="25"/>
      <c r="J6" s="25">
        <v>1.4</v>
      </c>
      <c r="K6" s="3">
        <f>(B6/C6)*D6</f>
        <v>2</v>
      </c>
      <c r="L6" s="3">
        <f>-J6*(E6+F6)</f>
        <v>8.3999999999999986</v>
      </c>
      <c r="M6" s="3">
        <f>G6*D6</f>
        <v>1.6</v>
      </c>
      <c r="N6" s="4">
        <f>E6+F6</f>
        <v>-6</v>
      </c>
      <c r="O6" s="3">
        <f>-J6*(E6+F6)</f>
        <v>8.3999999999999986</v>
      </c>
      <c r="P6" s="3">
        <f>-N6-O6</f>
        <v>-2.3999999999999986</v>
      </c>
      <c r="Q6" s="3"/>
      <c r="R6" s="2"/>
      <c r="S6" s="2"/>
      <c r="T6" s="2"/>
      <c r="U6" s="2"/>
      <c r="V6" s="2"/>
      <c r="W6" s="2"/>
    </row>
    <row r="7" spans="1:23" x14ac:dyDescent="0.25">
      <c r="A7" s="3">
        <v>1</v>
      </c>
      <c r="B7" s="3">
        <v>0.6</v>
      </c>
      <c r="C7" s="3">
        <v>0.8</v>
      </c>
      <c r="D7" s="3">
        <v>8</v>
      </c>
      <c r="E7" s="3">
        <f>2*F7</f>
        <v>12</v>
      </c>
      <c r="F7" s="3">
        <v>6</v>
      </c>
      <c r="G7" s="25">
        <v>1</v>
      </c>
      <c r="H7" s="25">
        <v>2</v>
      </c>
      <c r="I7" s="25">
        <v>3</v>
      </c>
      <c r="J7" s="25">
        <v>4</v>
      </c>
      <c r="K7" s="3">
        <f>(B7/C7)*D7</f>
        <v>5.9999999999999991</v>
      </c>
      <c r="L7" s="3">
        <f>D7-M7</f>
        <v>0</v>
      </c>
      <c r="M7" s="3">
        <f>D7*G7</f>
        <v>8</v>
      </c>
      <c r="N7" s="4">
        <f>E7+F7</f>
        <v>18</v>
      </c>
      <c r="O7" s="3">
        <f>-N7*J7/I7</f>
        <v>-24</v>
      </c>
      <c r="P7" s="3">
        <f>-N7-O7</f>
        <v>6</v>
      </c>
      <c r="Q7" s="2"/>
      <c r="R7" s="2"/>
      <c r="S7" s="2"/>
      <c r="T7" s="2"/>
      <c r="U7" s="2"/>
      <c r="V7" s="2"/>
      <c r="W7" s="2"/>
    </row>
    <row r="8" spans="1:23" x14ac:dyDescent="0.25">
      <c r="A8" s="3">
        <v>2</v>
      </c>
      <c r="B8" s="3">
        <v>0.2</v>
      </c>
      <c r="C8" s="3">
        <v>0.5</v>
      </c>
      <c r="D8" s="3">
        <v>6</v>
      </c>
      <c r="E8" s="3">
        <v>4</v>
      </c>
      <c r="F8" s="3">
        <v>8</v>
      </c>
      <c r="G8" s="3">
        <v>1</v>
      </c>
      <c r="H8" s="2">
        <v>2</v>
      </c>
      <c r="I8" s="2">
        <v>3</v>
      </c>
      <c r="J8" s="3">
        <v>4</v>
      </c>
      <c r="K8" s="3"/>
      <c r="L8" s="3">
        <f>D8-Q8</f>
        <v>4.5</v>
      </c>
      <c r="M8" s="4"/>
      <c r="N8" s="4">
        <f>E8+F8</f>
        <v>12</v>
      </c>
      <c r="O8" s="5"/>
      <c r="P8" s="5">
        <f>-I8*N8/J8</f>
        <v>-9</v>
      </c>
      <c r="Q8" s="4">
        <f>G8*D8/4</f>
        <v>1.5</v>
      </c>
      <c r="R8" s="3">
        <f>(F8-E8)*S8</f>
        <v>1</v>
      </c>
      <c r="S8" s="3">
        <f>C8/2</f>
        <v>0.25</v>
      </c>
      <c r="T8" s="3">
        <f>D8*B8/2</f>
        <v>0.60000000000000009</v>
      </c>
      <c r="U8" s="3">
        <f>R8-T8</f>
        <v>0.39999999999999991</v>
      </c>
      <c r="V8" s="5">
        <f>-(N8+P8)</f>
        <v>-3</v>
      </c>
      <c r="W8" s="2"/>
    </row>
    <row r="9" spans="1:23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2"/>
      <c r="P9" s="2"/>
      <c r="Q9" s="2"/>
      <c r="R9" s="2"/>
      <c r="S9" s="2"/>
      <c r="T9" s="2"/>
      <c r="U9" s="2"/>
      <c r="V9" s="2"/>
      <c r="W9" s="2"/>
    </row>
    <row r="10" spans="1:23" x14ac:dyDescent="0.25">
      <c r="A10" s="2"/>
      <c r="B10" s="2"/>
      <c r="C10" s="2"/>
      <c r="D10" s="2"/>
      <c r="E10" s="2"/>
      <c r="F10" s="2"/>
      <c r="G10" s="3"/>
      <c r="H10" s="3"/>
      <c r="I10" s="3"/>
      <c r="J10" s="3"/>
      <c r="K10" s="3"/>
      <c r="L10" s="3"/>
      <c r="M10" s="4"/>
      <c r="N10" s="4"/>
      <c r="O10" s="5"/>
      <c r="P10" s="5"/>
      <c r="Q10" s="2"/>
      <c r="R10" s="2"/>
      <c r="S10" s="2"/>
      <c r="T10" s="2"/>
      <c r="U10" s="2"/>
      <c r="V10" s="2"/>
      <c r="W10" s="2"/>
    </row>
    <row r="11" spans="1:23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2"/>
      <c r="P11" s="2"/>
      <c r="Q11" s="2"/>
      <c r="R11" s="2"/>
      <c r="S11" s="2"/>
      <c r="T11" s="2"/>
      <c r="U11" s="2"/>
      <c r="V11" s="2"/>
      <c r="W11" s="2"/>
    </row>
    <row r="12" spans="1:23" x14ac:dyDescent="0.25">
      <c r="A12" s="3"/>
      <c r="B12" s="3"/>
      <c r="C12" s="3"/>
      <c r="D12" s="3"/>
      <c r="E12" s="3"/>
      <c r="F12" s="3"/>
      <c r="G12" s="3"/>
      <c r="H12" s="2"/>
      <c r="I12" s="2"/>
      <c r="J12" s="3"/>
      <c r="K12" s="3"/>
      <c r="L12" s="3"/>
      <c r="M12" s="4"/>
      <c r="N12" s="4"/>
      <c r="O12" s="5"/>
      <c r="P12" s="5"/>
      <c r="Q12" s="2"/>
      <c r="R12" s="2"/>
      <c r="S12" s="2"/>
      <c r="T12" s="2"/>
      <c r="U12" s="2"/>
      <c r="V12" s="2"/>
      <c r="W12" s="2"/>
    </row>
    <row r="13" spans="1:23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8"/>
  <sheetViews>
    <sheetView workbookViewId="0">
      <selection activeCell="F8" sqref="F8"/>
    </sheetView>
  </sheetViews>
  <sheetFormatPr defaultRowHeight="15.75" x14ac:dyDescent="0.25"/>
  <cols>
    <col min="1" max="1" width="5.7109375" style="1" customWidth="1"/>
    <col min="2" max="2" width="6.7109375" style="1" customWidth="1"/>
    <col min="3" max="3" width="10" style="1" customWidth="1"/>
    <col min="4" max="5" width="9.140625" style="1"/>
    <col min="6" max="6" width="10" style="1" customWidth="1"/>
    <col min="7" max="7" width="7.7109375" style="1" customWidth="1"/>
    <col min="8" max="8" width="8.5703125" style="1" customWidth="1"/>
    <col min="9" max="9" width="8.42578125" style="1" customWidth="1"/>
    <col min="10" max="10" width="9.7109375" style="1" customWidth="1"/>
    <col min="11" max="11" width="8.7109375" style="1" customWidth="1"/>
    <col min="12" max="12" width="10" style="1" customWidth="1"/>
    <col min="13" max="13" width="9.85546875" style="1" customWidth="1"/>
    <col min="14" max="14" width="8.85546875" style="1" customWidth="1"/>
    <col min="15" max="15" width="9.28515625" style="1" customWidth="1"/>
    <col min="16" max="16384" width="9.140625" style="1"/>
  </cols>
  <sheetData>
    <row r="2" spans="1:21" ht="15.75" customHeight="1" x14ac:dyDescent="0.3">
      <c r="C2" s="6" t="s">
        <v>11</v>
      </c>
      <c r="D2" s="7"/>
      <c r="E2" s="7"/>
      <c r="F2" s="7"/>
      <c r="G2" s="7"/>
      <c r="H2" s="7"/>
      <c r="I2" s="7"/>
    </row>
    <row r="3" spans="1:21" x14ac:dyDescent="0.25">
      <c r="C3" s="7"/>
      <c r="D3" s="7"/>
      <c r="E3" s="7"/>
      <c r="F3" s="7"/>
      <c r="G3" s="7"/>
      <c r="H3" s="7"/>
      <c r="I3" s="7"/>
    </row>
    <row r="5" spans="1:21" ht="18.75" x14ac:dyDescent="0.3">
      <c r="A5" s="2" t="s">
        <v>3</v>
      </c>
      <c r="B5" s="3" t="s">
        <v>20</v>
      </c>
      <c r="C5" s="3" t="s">
        <v>87</v>
      </c>
      <c r="D5" s="3" t="s">
        <v>78</v>
      </c>
      <c r="E5" s="3" t="s">
        <v>79</v>
      </c>
      <c r="F5" s="3" t="s">
        <v>80</v>
      </c>
      <c r="G5" s="3" t="s">
        <v>83</v>
      </c>
      <c r="H5" s="3" t="s">
        <v>98</v>
      </c>
      <c r="I5" s="8" t="s">
        <v>99</v>
      </c>
      <c r="J5" s="8" t="s">
        <v>25</v>
      </c>
      <c r="K5" s="3" t="s">
        <v>100</v>
      </c>
      <c r="L5" s="3"/>
      <c r="M5" s="3"/>
      <c r="N5" s="3"/>
      <c r="O5" s="3"/>
      <c r="P5" s="8"/>
      <c r="Q5" s="8"/>
      <c r="R5" s="2"/>
      <c r="S5" s="2"/>
      <c r="T5" s="2"/>
      <c r="U5" s="2"/>
    </row>
    <row r="6" spans="1:21" ht="18.75" x14ac:dyDescent="0.3">
      <c r="A6" s="2"/>
      <c r="B6" s="3">
        <v>2</v>
      </c>
      <c r="C6" s="3">
        <v>85</v>
      </c>
      <c r="D6" s="3">
        <v>30</v>
      </c>
      <c r="E6" s="3">
        <f>D6/C6</f>
        <v>0.35294117647058826</v>
      </c>
      <c r="F6" s="3">
        <v>65</v>
      </c>
      <c r="G6" s="3">
        <v>25</v>
      </c>
      <c r="H6" s="3">
        <f>G6/F6</f>
        <v>0.38461538461538464</v>
      </c>
      <c r="I6" s="3">
        <f>E6*H6</f>
        <v>0.13574660633484165</v>
      </c>
      <c r="J6" s="3">
        <v>900</v>
      </c>
      <c r="K6" s="3">
        <f>J6/I6</f>
        <v>6629.9999999999991</v>
      </c>
      <c r="L6" s="3"/>
      <c r="M6" s="3"/>
      <c r="N6" s="2"/>
      <c r="O6" s="2"/>
      <c r="P6" s="3"/>
      <c r="Q6" s="2"/>
      <c r="R6" s="2"/>
      <c r="S6" s="2"/>
      <c r="T6" s="2"/>
      <c r="U6" s="2"/>
    </row>
    <row r="7" spans="1:21" x14ac:dyDescent="0.25">
      <c r="A7" s="3"/>
      <c r="B7" s="3"/>
      <c r="C7" s="12"/>
      <c r="D7" s="12"/>
      <c r="E7" s="12"/>
      <c r="F7" s="12"/>
      <c r="G7" s="12"/>
      <c r="H7" s="1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x14ac:dyDescent="0.25">
      <c r="A8" s="3"/>
      <c r="B8" s="3"/>
      <c r="C8" s="2"/>
      <c r="D8" s="3"/>
      <c r="E8" s="3"/>
      <c r="F8" s="3"/>
      <c r="G8" s="4"/>
      <c r="H8" s="4"/>
      <c r="I8" s="5"/>
      <c r="J8" s="5"/>
      <c r="K8" s="5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2"/>
      <c r="P9" s="3"/>
      <c r="Q9" s="3"/>
      <c r="R9" s="2"/>
      <c r="S9" s="2"/>
      <c r="T9" s="2"/>
      <c r="U9" s="2"/>
    </row>
    <row r="10" spans="1:21" x14ac:dyDescent="0.25">
      <c r="A10" s="2"/>
      <c r="B10" s="3"/>
      <c r="C10" s="3"/>
      <c r="D10" s="3"/>
      <c r="E10" s="3"/>
      <c r="F10" s="3"/>
      <c r="G10" s="4"/>
      <c r="H10" s="4"/>
      <c r="I10" s="5"/>
      <c r="J10" s="5"/>
      <c r="K10" s="5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x14ac:dyDescent="0.25">
      <c r="A11" s="3"/>
      <c r="B11" s="3"/>
      <c r="C11" s="12"/>
      <c r="D11" s="12"/>
      <c r="E11" s="3"/>
      <c r="F11" s="12"/>
      <c r="G11" s="12"/>
      <c r="H11" s="1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x14ac:dyDescent="0.25">
      <c r="A12" s="3"/>
      <c r="B12" s="3"/>
      <c r="C12" s="3" t="s">
        <v>102</v>
      </c>
      <c r="D12" s="3" t="s">
        <v>101</v>
      </c>
      <c r="E12" s="3" t="s">
        <v>79</v>
      </c>
      <c r="F12" s="3" t="s">
        <v>81</v>
      </c>
      <c r="G12" s="4" t="s">
        <v>80</v>
      </c>
      <c r="H12" s="3" t="s">
        <v>82</v>
      </c>
      <c r="I12" s="5" t="s">
        <v>84</v>
      </c>
      <c r="J12" s="5" t="s">
        <v>83</v>
      </c>
      <c r="K12" s="5" t="s">
        <v>110</v>
      </c>
      <c r="L12" s="3" t="s">
        <v>83</v>
      </c>
      <c r="M12" s="3" t="s">
        <v>85</v>
      </c>
      <c r="N12" s="3" t="s">
        <v>86</v>
      </c>
      <c r="O12" s="3" t="s">
        <v>107</v>
      </c>
      <c r="P12" s="3" t="s">
        <v>25</v>
      </c>
      <c r="Q12" s="3" t="s">
        <v>88</v>
      </c>
      <c r="R12" s="2"/>
      <c r="S12" s="2"/>
      <c r="T12" s="2"/>
      <c r="U12" s="2"/>
    </row>
    <row r="13" spans="1:21" x14ac:dyDescent="0.25">
      <c r="A13" s="2"/>
      <c r="B13" s="3">
        <v>-1</v>
      </c>
      <c r="C13" s="2">
        <v>16</v>
      </c>
      <c r="D13" s="2">
        <v>48</v>
      </c>
      <c r="E13" s="3">
        <f>D13/C13</f>
        <v>3</v>
      </c>
      <c r="F13" s="3">
        <v>20</v>
      </c>
      <c r="G13" s="3">
        <v>44</v>
      </c>
      <c r="H13" s="3">
        <f>G13/F13</f>
        <v>2.2000000000000002</v>
      </c>
      <c r="I13" s="3">
        <v>20</v>
      </c>
      <c r="J13" s="3">
        <v>40</v>
      </c>
      <c r="K13" s="3">
        <f>J13/I13</f>
        <v>2</v>
      </c>
      <c r="L13" s="3">
        <v>40</v>
      </c>
      <c r="M13" s="3">
        <v>100</v>
      </c>
      <c r="N13" s="3">
        <f>M13/L13</f>
        <v>2.5</v>
      </c>
      <c r="O13" s="3">
        <f>E13*H13*K13*N13*B13</f>
        <v>-33</v>
      </c>
      <c r="P13" s="3">
        <v>330</v>
      </c>
      <c r="Q13" s="3">
        <f>P13/O13</f>
        <v>-10</v>
      </c>
      <c r="R13" s="2"/>
      <c r="S13" s="2"/>
      <c r="T13" s="2"/>
      <c r="U13" s="2"/>
    </row>
    <row r="14" spans="1:21" x14ac:dyDescent="0.25">
      <c r="A14" s="2"/>
      <c r="B14" s="2"/>
      <c r="C14" s="3" t="s">
        <v>102</v>
      </c>
      <c r="D14" s="3" t="s">
        <v>101</v>
      </c>
      <c r="E14" s="3" t="s">
        <v>79</v>
      </c>
      <c r="F14" s="3" t="s">
        <v>111</v>
      </c>
      <c r="G14" s="3" t="s">
        <v>112</v>
      </c>
      <c r="H14" s="3" t="s">
        <v>110</v>
      </c>
      <c r="I14" s="3" t="s">
        <v>112</v>
      </c>
      <c r="J14" s="3" t="s">
        <v>113</v>
      </c>
      <c r="K14" s="5" t="s">
        <v>86</v>
      </c>
      <c r="L14" s="3" t="s">
        <v>114</v>
      </c>
      <c r="M14" s="3" t="s">
        <v>115</v>
      </c>
      <c r="N14" s="3" t="s">
        <v>116</v>
      </c>
      <c r="O14" s="3" t="s">
        <v>115</v>
      </c>
      <c r="P14" s="3" t="s">
        <v>117</v>
      </c>
      <c r="Q14" s="3" t="s">
        <v>118</v>
      </c>
      <c r="R14" s="3" t="s">
        <v>119</v>
      </c>
      <c r="S14" s="2"/>
      <c r="T14" s="2"/>
      <c r="U14" s="2"/>
    </row>
    <row r="15" spans="1:21" x14ac:dyDescent="0.25">
      <c r="A15" s="2"/>
      <c r="B15" s="2"/>
      <c r="C15" s="2">
        <v>20</v>
      </c>
      <c r="D15" s="2">
        <v>40</v>
      </c>
      <c r="E15" s="3">
        <f>D15/C15</f>
        <v>2</v>
      </c>
      <c r="F15" s="2">
        <v>20</v>
      </c>
      <c r="G15" s="2">
        <v>40</v>
      </c>
      <c r="H15" s="3">
        <f>G15/F15</f>
        <v>2</v>
      </c>
      <c r="I15" s="2">
        <v>40</v>
      </c>
      <c r="J15" s="2">
        <v>50</v>
      </c>
      <c r="K15" s="3">
        <f>J15/I15</f>
        <v>1.25</v>
      </c>
      <c r="L15" s="2">
        <v>20</v>
      </c>
      <c r="M15" s="3">
        <v>40</v>
      </c>
      <c r="N15" s="3">
        <f>M15/L15</f>
        <v>2</v>
      </c>
      <c r="O15" s="3">
        <v>40</v>
      </c>
      <c r="P15" s="3">
        <v>50</v>
      </c>
      <c r="Q15" s="3">
        <f>P15/O15</f>
        <v>1.25</v>
      </c>
      <c r="R15" s="3">
        <f>E15*H15*K15*N15*Q15</f>
        <v>12.5</v>
      </c>
      <c r="S15" s="2"/>
      <c r="T15" s="2"/>
      <c r="U15" s="2"/>
    </row>
    <row r="16" spans="1:2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8"/>
  <sheetViews>
    <sheetView workbookViewId="0">
      <selection activeCell="M13" sqref="M13"/>
    </sheetView>
  </sheetViews>
  <sheetFormatPr defaultRowHeight="15.75" x14ac:dyDescent="0.25"/>
  <cols>
    <col min="1" max="2" width="5.7109375" style="1" customWidth="1"/>
    <col min="3" max="3" width="6.7109375" style="1" customWidth="1"/>
    <col min="4" max="4" width="10" style="1" customWidth="1"/>
    <col min="5" max="7" width="9.140625" style="1"/>
    <col min="8" max="10" width="10" style="1" customWidth="1"/>
    <col min="11" max="11" width="9.140625" style="1" customWidth="1"/>
    <col min="12" max="12" width="8.5703125" style="1" customWidth="1"/>
    <col min="13" max="13" width="8.42578125" style="1" customWidth="1"/>
    <col min="14" max="14" width="9.7109375" style="1" customWidth="1"/>
    <col min="15" max="15" width="8.7109375" style="1" customWidth="1"/>
    <col min="16" max="16" width="9.140625" style="1"/>
    <col min="17" max="17" width="7.7109375" style="1" customWidth="1"/>
    <col min="18" max="18" width="7.140625" style="1" customWidth="1"/>
    <col min="19" max="19" width="7.5703125" style="1" customWidth="1"/>
    <col min="20" max="16384" width="9.140625" style="1"/>
  </cols>
  <sheetData>
    <row r="2" spans="1:25" ht="15.75" customHeight="1" x14ac:dyDescent="0.3">
      <c r="D2" s="6" t="s">
        <v>11</v>
      </c>
      <c r="E2" s="7"/>
      <c r="F2" s="7"/>
      <c r="G2" s="7"/>
      <c r="H2" s="7"/>
      <c r="I2" s="7"/>
      <c r="J2" s="7"/>
      <c r="K2" s="7"/>
      <c r="L2" s="7"/>
      <c r="M2" s="7"/>
    </row>
    <row r="3" spans="1:25" x14ac:dyDescent="0.25">
      <c r="D3" s="7"/>
      <c r="E3" s="7"/>
      <c r="F3" s="7"/>
      <c r="G3" s="7" t="s">
        <v>109</v>
      </c>
      <c r="H3" s="7"/>
      <c r="I3" s="7"/>
      <c r="J3" s="7"/>
      <c r="K3" s="7"/>
      <c r="L3" s="7"/>
      <c r="M3" s="7"/>
    </row>
    <row r="5" spans="1:25" ht="20.25" x14ac:dyDescent="0.3">
      <c r="A5" s="2" t="s">
        <v>104</v>
      </c>
      <c r="B5" s="3" t="s">
        <v>20</v>
      </c>
      <c r="C5" s="3" t="s">
        <v>106</v>
      </c>
      <c r="D5" s="3" t="s">
        <v>87</v>
      </c>
      <c r="E5" s="3" t="s">
        <v>78</v>
      </c>
      <c r="F5" s="3" t="s">
        <v>81</v>
      </c>
      <c r="G5" s="3" t="s">
        <v>80</v>
      </c>
      <c r="H5" s="3" t="s">
        <v>84</v>
      </c>
      <c r="I5" s="3" t="s">
        <v>83</v>
      </c>
      <c r="J5" s="3" t="s">
        <v>85</v>
      </c>
      <c r="K5" s="3" t="s">
        <v>103</v>
      </c>
      <c r="L5" s="3" t="s">
        <v>25</v>
      </c>
      <c r="M5" s="3" t="s">
        <v>105</v>
      </c>
      <c r="N5" s="3" t="s">
        <v>107</v>
      </c>
      <c r="O5" s="3" t="s">
        <v>88</v>
      </c>
      <c r="P5" s="3"/>
      <c r="Q5" s="3"/>
      <c r="R5" s="3"/>
      <c r="S5" s="3"/>
      <c r="T5" s="8"/>
      <c r="U5" s="8"/>
      <c r="V5" s="2"/>
      <c r="W5" s="2"/>
      <c r="X5" s="2"/>
      <c r="Y5" s="2"/>
    </row>
    <row r="6" spans="1:25" x14ac:dyDescent="0.25">
      <c r="A6" s="2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2"/>
      <c r="S6" s="2"/>
      <c r="T6" s="3"/>
      <c r="U6" s="2"/>
      <c r="V6" s="2"/>
      <c r="W6" s="2"/>
      <c r="X6" s="2"/>
      <c r="Y6" s="2"/>
    </row>
    <row r="7" spans="1:25" x14ac:dyDescent="0.25">
      <c r="A7" s="3"/>
      <c r="B7" s="3"/>
      <c r="C7" s="3"/>
      <c r="D7" s="12"/>
      <c r="E7" s="12"/>
      <c r="F7" s="12"/>
      <c r="G7" s="12"/>
      <c r="H7" s="12"/>
      <c r="I7" s="12"/>
      <c r="J7" s="12"/>
      <c r="K7" s="12"/>
      <c r="L7" s="1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x14ac:dyDescent="0.25">
      <c r="A8" s="3"/>
      <c r="B8" s="3"/>
      <c r="C8" s="3"/>
      <c r="D8" s="2"/>
      <c r="E8" s="3"/>
      <c r="F8" s="3"/>
      <c r="G8" s="3"/>
      <c r="H8" s="3"/>
      <c r="I8" s="3"/>
      <c r="J8" s="3"/>
      <c r="K8" s="4"/>
      <c r="L8" s="4"/>
      <c r="M8" s="5"/>
      <c r="N8" s="5"/>
      <c r="O8" s="5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x14ac:dyDescent="0.25">
      <c r="A9" s="3">
        <v>1</v>
      </c>
      <c r="B9" s="3">
        <v>-1</v>
      </c>
      <c r="C9" s="3">
        <v>1</v>
      </c>
      <c r="D9" s="3">
        <v>50</v>
      </c>
      <c r="E9" s="3">
        <v>30</v>
      </c>
      <c r="F9" s="3"/>
      <c r="G9" s="3">
        <v>35</v>
      </c>
      <c r="H9" s="3">
        <v>50</v>
      </c>
      <c r="I9" s="15">
        <v>35</v>
      </c>
      <c r="J9" s="15"/>
      <c r="K9" s="4">
        <f>(E9/D9)*(G9/E9)*(I9/H9)*B9</f>
        <v>-0.49</v>
      </c>
      <c r="L9" s="3">
        <v>200</v>
      </c>
      <c r="M9" s="4">
        <f>L9/K9</f>
        <v>-408.16326530612247</v>
      </c>
      <c r="N9" s="3"/>
      <c r="O9" s="3"/>
      <c r="P9" s="3"/>
      <c r="Q9" s="3"/>
      <c r="R9" s="3"/>
      <c r="S9" s="2"/>
      <c r="T9" s="3"/>
      <c r="U9" s="3"/>
      <c r="V9" s="2"/>
      <c r="W9" s="2"/>
      <c r="X9" s="2"/>
      <c r="Y9" s="2"/>
    </row>
    <row r="10" spans="1:25" x14ac:dyDescent="0.25">
      <c r="A10" s="2"/>
      <c r="B10" s="2"/>
      <c r="C10" s="3">
        <v>2</v>
      </c>
      <c r="D10" s="3">
        <v>20</v>
      </c>
      <c r="E10" s="3">
        <v>25</v>
      </c>
      <c r="F10" s="3"/>
      <c r="G10" s="3">
        <v>60</v>
      </c>
      <c r="H10" s="3">
        <v>25</v>
      </c>
      <c r="I10" s="3">
        <v>20</v>
      </c>
      <c r="J10" s="3">
        <v>60</v>
      </c>
      <c r="K10" s="4"/>
      <c r="L10" s="4">
        <v>100</v>
      </c>
      <c r="M10" s="5"/>
      <c r="N10" s="5">
        <f>(E10/D10)*(G10/E10)*(I10/H10)*(J10/I10)</f>
        <v>7.2000000000000011</v>
      </c>
      <c r="O10" s="5">
        <f>L10/N10</f>
        <v>13.888888888888888</v>
      </c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x14ac:dyDescent="0.25">
      <c r="A11" s="3"/>
      <c r="B11" s="3"/>
      <c r="C11" s="3"/>
      <c r="D11" s="12"/>
      <c r="E11" s="12"/>
      <c r="F11" s="12"/>
      <c r="G11" s="3"/>
      <c r="H11" s="12"/>
      <c r="I11" s="29"/>
      <c r="J11" s="29"/>
      <c r="K11" s="12"/>
      <c r="L11" s="1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x14ac:dyDescent="0.25">
      <c r="A12" s="3">
        <v>1</v>
      </c>
      <c r="B12" s="3">
        <v>-1</v>
      </c>
      <c r="C12" s="3">
        <v>1</v>
      </c>
      <c r="D12" s="3">
        <v>50</v>
      </c>
      <c r="E12" s="3">
        <v>30</v>
      </c>
      <c r="F12" s="3">
        <v>25</v>
      </c>
      <c r="G12" s="3">
        <v>25</v>
      </c>
      <c r="H12" s="3">
        <v>15</v>
      </c>
      <c r="I12" s="3">
        <v>30</v>
      </c>
      <c r="J12" s="3">
        <v>25</v>
      </c>
      <c r="K12" s="4"/>
      <c r="L12" s="3">
        <v>250</v>
      </c>
      <c r="M12" s="5"/>
      <c r="N12" s="11">
        <f>(E12/D12)*(G12/F12)*(I12/H12)*(J12/I12)*B12</f>
        <v>-1</v>
      </c>
      <c r="O12" s="11">
        <f>L12/N12</f>
        <v>-250</v>
      </c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x14ac:dyDescent="0.25">
      <c r="A13" s="2"/>
      <c r="B13" s="3">
        <v>-1</v>
      </c>
      <c r="C13" s="3">
        <v>2</v>
      </c>
      <c r="D13" s="3">
        <v>60</v>
      </c>
      <c r="E13" s="3">
        <v>50</v>
      </c>
      <c r="F13" s="3">
        <v>45</v>
      </c>
      <c r="G13" s="3">
        <v>30</v>
      </c>
      <c r="H13" s="2"/>
      <c r="I13" s="3">
        <v>25</v>
      </c>
      <c r="J13" s="2"/>
      <c r="K13" s="10">
        <f>(E13/D13)*(G13/F13)*(I13/G13)*B13</f>
        <v>-0.46296296296296302</v>
      </c>
      <c r="L13" s="3">
        <v>100</v>
      </c>
      <c r="M13" s="4">
        <f>L13/K13*B13*B13</f>
        <v>-215.99999999999997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8"/>
  <sheetViews>
    <sheetView workbookViewId="0">
      <selection activeCell="L15" sqref="L15"/>
    </sheetView>
  </sheetViews>
  <sheetFormatPr defaultRowHeight="15.75" x14ac:dyDescent="0.25"/>
  <cols>
    <col min="1" max="2" width="5.7109375" style="1" customWidth="1"/>
    <col min="3" max="3" width="6.7109375" style="1" customWidth="1"/>
    <col min="4" max="4" width="10" style="1" customWidth="1"/>
    <col min="5" max="7" width="9.140625" style="1"/>
    <col min="8" max="10" width="10" style="1" customWidth="1"/>
    <col min="11" max="11" width="9.140625" style="1" customWidth="1"/>
    <col min="12" max="12" width="8.5703125" style="1" customWidth="1"/>
    <col min="13" max="13" width="8.42578125" style="1" customWidth="1"/>
    <col min="14" max="14" width="9.7109375" style="1" customWidth="1"/>
    <col min="15" max="15" width="8.7109375" style="1" customWidth="1"/>
    <col min="16" max="16" width="9.140625" style="1"/>
    <col min="17" max="17" width="7.7109375" style="1" customWidth="1"/>
    <col min="18" max="18" width="7.140625" style="1" customWidth="1"/>
    <col min="19" max="19" width="7.5703125" style="1" customWidth="1"/>
    <col min="20" max="16384" width="9.140625" style="1"/>
  </cols>
  <sheetData>
    <row r="2" spans="1:25" ht="15.75" customHeight="1" x14ac:dyDescent="0.3">
      <c r="D2" s="6" t="s">
        <v>11</v>
      </c>
      <c r="E2" s="7"/>
      <c r="F2" s="7"/>
      <c r="G2" s="7"/>
      <c r="H2" s="7"/>
      <c r="I2" s="7"/>
      <c r="J2" s="7"/>
      <c r="K2" s="7"/>
      <c r="L2" s="7"/>
      <c r="M2" s="7"/>
    </row>
    <row r="3" spans="1:25" x14ac:dyDescent="0.25">
      <c r="D3" s="7"/>
      <c r="E3" s="7"/>
      <c r="F3" s="7"/>
      <c r="G3" s="7" t="s">
        <v>108</v>
      </c>
      <c r="H3" s="7"/>
      <c r="I3" s="7"/>
      <c r="J3" s="7"/>
      <c r="K3" s="7"/>
      <c r="L3" s="7"/>
      <c r="M3" s="7"/>
    </row>
    <row r="5" spans="1:25" ht="20.25" x14ac:dyDescent="0.3">
      <c r="A5" s="2" t="s">
        <v>104</v>
      </c>
      <c r="B5" s="3" t="s">
        <v>20</v>
      </c>
      <c r="C5" s="3" t="s">
        <v>106</v>
      </c>
      <c r="D5" s="3" t="s">
        <v>87</v>
      </c>
      <c r="E5" s="3" t="s">
        <v>78</v>
      </c>
      <c r="F5" s="3" t="s">
        <v>81</v>
      </c>
      <c r="G5" s="3" t="s">
        <v>80</v>
      </c>
      <c r="H5" s="3" t="s">
        <v>84</v>
      </c>
      <c r="I5" s="3" t="s">
        <v>83</v>
      </c>
      <c r="J5" s="3" t="s">
        <v>85</v>
      </c>
      <c r="K5" s="3" t="s">
        <v>103</v>
      </c>
      <c r="L5" s="3" t="s">
        <v>25</v>
      </c>
      <c r="M5" s="3" t="s">
        <v>105</v>
      </c>
      <c r="N5" s="3" t="s">
        <v>107</v>
      </c>
      <c r="O5" s="3" t="s">
        <v>88</v>
      </c>
      <c r="P5" s="3"/>
      <c r="Q5" s="3"/>
      <c r="R5" s="3"/>
      <c r="S5" s="3"/>
      <c r="T5" s="8"/>
      <c r="U5" s="8"/>
      <c r="V5" s="2"/>
      <c r="W5" s="2"/>
      <c r="X5" s="2"/>
      <c r="Y5" s="2"/>
    </row>
    <row r="6" spans="1:25" x14ac:dyDescent="0.25">
      <c r="A6" s="2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2"/>
      <c r="S6" s="2"/>
      <c r="T6" s="3"/>
      <c r="U6" s="2"/>
      <c r="V6" s="2"/>
      <c r="W6" s="2"/>
      <c r="X6" s="2"/>
      <c r="Y6" s="2"/>
    </row>
    <row r="7" spans="1:25" x14ac:dyDescent="0.25">
      <c r="A7" s="3"/>
      <c r="B7" s="3"/>
      <c r="C7" s="3"/>
      <c r="D7" s="12"/>
      <c r="E7" s="12"/>
      <c r="F7" s="12"/>
      <c r="G7" s="12"/>
      <c r="H7" s="12"/>
      <c r="I7" s="12"/>
      <c r="J7" s="12"/>
      <c r="K7" s="12"/>
      <c r="L7" s="1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x14ac:dyDescent="0.25">
      <c r="A8" s="3"/>
      <c r="B8" s="3"/>
      <c r="C8" s="3"/>
      <c r="D8" s="2"/>
      <c r="E8" s="3"/>
      <c r="F8" s="3"/>
      <c r="G8" s="3"/>
      <c r="H8" s="3"/>
      <c r="I8" s="3"/>
      <c r="J8" s="3"/>
      <c r="K8" s="4"/>
      <c r="L8" s="4"/>
      <c r="M8" s="5"/>
      <c r="N8" s="5"/>
      <c r="O8" s="5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x14ac:dyDescent="0.25">
      <c r="A9" s="3">
        <v>1</v>
      </c>
      <c r="B9" s="3">
        <v>-1</v>
      </c>
      <c r="C9" s="3">
        <v>1</v>
      </c>
      <c r="D9" s="3">
        <v>50</v>
      </c>
      <c r="E9" s="3">
        <v>30</v>
      </c>
      <c r="F9" s="3"/>
      <c r="G9" s="3">
        <v>35</v>
      </c>
      <c r="H9" s="3">
        <v>50</v>
      </c>
      <c r="I9" s="15">
        <v>35</v>
      </c>
      <c r="J9" s="15"/>
      <c r="K9" s="4">
        <f>(E9/D9)*(G9/E9)*(I9/H9)*B9</f>
        <v>-0.49</v>
      </c>
      <c r="L9" s="3">
        <v>200</v>
      </c>
      <c r="M9" s="4">
        <f>L9/K9</f>
        <v>-408.16326530612247</v>
      </c>
      <c r="N9" s="3"/>
      <c r="O9" s="3"/>
      <c r="P9" s="3"/>
      <c r="Q9" s="3"/>
      <c r="R9" s="3"/>
      <c r="S9" s="2"/>
      <c r="T9" s="3"/>
      <c r="U9" s="3"/>
      <c r="V9" s="2"/>
      <c r="W9" s="2"/>
      <c r="X9" s="2"/>
      <c r="Y9" s="2"/>
    </row>
    <row r="10" spans="1:25" x14ac:dyDescent="0.25">
      <c r="A10" s="2"/>
      <c r="B10" s="2"/>
      <c r="C10" s="3">
        <v>2</v>
      </c>
      <c r="D10" s="3">
        <v>20</v>
      </c>
      <c r="E10" s="3">
        <v>25</v>
      </c>
      <c r="F10" s="3"/>
      <c r="G10" s="3">
        <v>60</v>
      </c>
      <c r="H10" s="3">
        <v>25</v>
      </c>
      <c r="I10" s="3">
        <v>20</v>
      </c>
      <c r="J10" s="3">
        <v>60</v>
      </c>
      <c r="K10" s="4"/>
      <c r="L10" s="4">
        <v>100</v>
      </c>
      <c r="M10" s="5"/>
      <c r="N10" s="5">
        <f>(E10/D10)*(G10/E10)*(I10/H10)*(J10/I10)</f>
        <v>7.2000000000000011</v>
      </c>
      <c r="O10" s="5">
        <f>L10/N10</f>
        <v>13.888888888888888</v>
      </c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x14ac:dyDescent="0.25">
      <c r="A11" s="3"/>
      <c r="B11" s="3"/>
      <c r="C11" s="3"/>
      <c r="D11" s="12"/>
      <c r="E11" s="12"/>
      <c r="F11" s="12"/>
      <c r="G11" s="3"/>
      <c r="H11" s="12"/>
      <c r="I11" s="29"/>
      <c r="J11" s="29"/>
      <c r="K11" s="12"/>
      <c r="L11" s="1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x14ac:dyDescent="0.25">
      <c r="A12" s="3">
        <v>1</v>
      </c>
      <c r="B12" s="3">
        <v>-1</v>
      </c>
      <c r="C12" s="3">
        <v>1</v>
      </c>
      <c r="D12" s="3">
        <v>50</v>
      </c>
      <c r="E12" s="3">
        <v>30</v>
      </c>
      <c r="F12" s="3">
        <v>25</v>
      </c>
      <c r="G12" s="3">
        <v>25</v>
      </c>
      <c r="H12" s="3">
        <v>15</v>
      </c>
      <c r="I12" s="3">
        <v>30</v>
      </c>
      <c r="J12" s="3">
        <v>25</v>
      </c>
      <c r="K12" s="4"/>
      <c r="L12" s="3">
        <v>250</v>
      </c>
      <c r="M12" s="5"/>
      <c r="N12" s="11">
        <f>(E12/D12)*(G12/F12)*(I12/H12)*(J12/I12)*B12</f>
        <v>-1</v>
      </c>
      <c r="O12" s="11">
        <f>L12/N12</f>
        <v>-250</v>
      </c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x14ac:dyDescent="0.25">
      <c r="A13" s="2"/>
      <c r="B13" s="3">
        <v>-1</v>
      </c>
      <c r="C13" s="3">
        <v>2</v>
      </c>
      <c r="D13" s="3">
        <v>40</v>
      </c>
      <c r="E13" s="3">
        <v>50</v>
      </c>
      <c r="F13" s="3">
        <v>35</v>
      </c>
      <c r="G13" s="3">
        <v>30</v>
      </c>
      <c r="H13" s="2"/>
      <c r="I13" s="3">
        <v>25</v>
      </c>
      <c r="J13" s="2"/>
      <c r="K13" s="15">
        <f>(E13/D13)*(G13/F13)*(I13/G13)*B13</f>
        <v>-0.8928571428571429</v>
      </c>
      <c r="L13" s="3">
        <v>300</v>
      </c>
      <c r="M13" s="3">
        <f>L13/K13*B13</f>
        <v>336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8"/>
  <sheetViews>
    <sheetView topLeftCell="B1" workbookViewId="0">
      <selection activeCell="J13" sqref="J13"/>
    </sheetView>
  </sheetViews>
  <sheetFormatPr defaultRowHeight="15.75" x14ac:dyDescent="0.25"/>
  <cols>
    <col min="1" max="1" width="5.7109375" style="1" customWidth="1"/>
    <col min="2" max="2" width="6.7109375" style="1" customWidth="1"/>
    <col min="3" max="3" width="10" style="1" customWidth="1"/>
    <col min="4" max="5" width="9.140625" style="1"/>
    <col min="6" max="6" width="10" style="1" customWidth="1"/>
    <col min="7" max="8" width="7.7109375" style="1" customWidth="1"/>
    <col min="9" max="9" width="11.42578125" style="1" customWidth="1"/>
    <col min="10" max="10" width="9.7109375" style="1" customWidth="1"/>
    <col min="11" max="11" width="8.7109375" style="1" customWidth="1"/>
    <col min="12" max="17" width="9.140625" style="1"/>
    <col min="18" max="18" width="11.42578125" style="1" customWidth="1"/>
    <col min="19" max="16384" width="9.140625" style="1"/>
  </cols>
  <sheetData>
    <row r="2" spans="1:21" ht="15.75" customHeight="1" x14ac:dyDescent="0.3">
      <c r="C2" s="6" t="s">
        <v>11</v>
      </c>
      <c r="D2" s="7"/>
      <c r="E2" s="7"/>
      <c r="F2" s="7"/>
      <c r="G2" s="7"/>
      <c r="H2" s="7"/>
      <c r="I2" s="7"/>
    </row>
    <row r="3" spans="1:21" x14ac:dyDescent="0.25">
      <c r="C3" s="7"/>
      <c r="D3" s="7"/>
      <c r="E3" s="7"/>
      <c r="F3" s="7"/>
      <c r="G3" s="7"/>
      <c r="H3" s="7"/>
      <c r="I3" s="7"/>
    </row>
    <row r="4" spans="1:21" x14ac:dyDescent="0.25">
      <c r="S4" s="18" t="s">
        <v>93</v>
      </c>
    </row>
    <row r="5" spans="1:21" ht="20.25" x14ac:dyDescent="0.3">
      <c r="A5" s="2" t="s">
        <v>3</v>
      </c>
      <c r="B5" s="3" t="s">
        <v>6</v>
      </c>
      <c r="C5" s="3" t="s">
        <v>0</v>
      </c>
      <c r="D5" s="3" t="s">
        <v>4</v>
      </c>
      <c r="E5" s="3" t="s">
        <v>10</v>
      </c>
      <c r="F5" s="3" t="s">
        <v>9</v>
      </c>
      <c r="G5" s="3" t="s">
        <v>1</v>
      </c>
      <c r="H5" s="3" t="s">
        <v>2</v>
      </c>
      <c r="I5" s="3" t="s">
        <v>5</v>
      </c>
      <c r="J5" s="3" t="s">
        <v>7</v>
      </c>
      <c r="K5" s="3" t="s">
        <v>8</v>
      </c>
      <c r="L5" s="3" t="s">
        <v>89</v>
      </c>
      <c r="M5" s="3" t="s">
        <v>89</v>
      </c>
      <c r="N5" s="3" t="s">
        <v>90</v>
      </c>
      <c r="O5" s="3" t="s">
        <v>87</v>
      </c>
      <c r="P5" s="3" t="s">
        <v>78</v>
      </c>
      <c r="Q5" s="3" t="s">
        <v>91</v>
      </c>
      <c r="R5" s="3" t="s">
        <v>92</v>
      </c>
      <c r="S5" s="28" t="s">
        <v>94</v>
      </c>
      <c r="T5" s="3" t="s">
        <v>4</v>
      </c>
      <c r="U5" s="9" t="s">
        <v>95</v>
      </c>
    </row>
    <row r="6" spans="1:21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2"/>
      <c r="M6" s="2"/>
      <c r="N6" s="2"/>
      <c r="O6" s="2"/>
      <c r="P6" s="2"/>
      <c r="Q6" s="2"/>
      <c r="R6" s="2"/>
      <c r="S6" s="2"/>
      <c r="T6" s="3"/>
      <c r="U6" s="2"/>
    </row>
    <row r="7" spans="1:21" x14ac:dyDescent="0.25">
      <c r="A7" s="3">
        <v>1</v>
      </c>
      <c r="B7" s="3"/>
      <c r="C7" s="12">
        <v>100</v>
      </c>
      <c r="D7" s="12">
        <v>10</v>
      </c>
      <c r="E7" s="12">
        <v>10</v>
      </c>
      <c r="F7" s="12">
        <v>20</v>
      </c>
      <c r="G7" s="12">
        <v>3</v>
      </c>
      <c r="H7" s="12">
        <v>30</v>
      </c>
      <c r="I7" s="2"/>
      <c r="J7" s="2"/>
      <c r="K7" s="2"/>
      <c r="L7" s="3">
        <v>8</v>
      </c>
      <c r="M7" s="3">
        <v>20</v>
      </c>
      <c r="N7" s="2"/>
      <c r="O7" s="2"/>
      <c r="P7" s="2"/>
      <c r="Q7" s="2"/>
      <c r="R7" s="2"/>
      <c r="S7" s="2"/>
      <c r="T7" s="3"/>
      <c r="U7" s="2"/>
    </row>
    <row r="8" spans="1:21" x14ac:dyDescent="0.25">
      <c r="A8" s="3"/>
      <c r="B8" s="3">
        <v>2</v>
      </c>
      <c r="C8" s="2">
        <f>C7*1000</f>
        <v>100000</v>
      </c>
      <c r="D8" s="3">
        <v>0.98480000000000001</v>
      </c>
      <c r="E8" s="3">
        <v>0.17630000000000001</v>
      </c>
      <c r="F8" s="3">
        <v>0.3639</v>
      </c>
      <c r="G8" s="4">
        <v>3</v>
      </c>
      <c r="H8" s="4">
        <v>30</v>
      </c>
      <c r="I8" s="5">
        <f>(B8*C8*D8)/(G8*H8)</f>
        <v>2188.4444444444443</v>
      </c>
      <c r="J8" s="5">
        <f>E8*I8</f>
        <v>385.82275555555555</v>
      </c>
      <c r="K8" s="5">
        <f>(I8*F8)/D8</f>
        <v>808.66666666666663</v>
      </c>
      <c r="L8" s="3">
        <v>0.99</v>
      </c>
      <c r="M8" s="3">
        <v>0.94</v>
      </c>
      <c r="N8" s="3">
        <v>620</v>
      </c>
      <c r="O8" s="3">
        <v>25</v>
      </c>
      <c r="P8" s="3">
        <v>150</v>
      </c>
      <c r="Q8" s="2">
        <f>(2*L8*N8)/(O8+P8)</f>
        <v>7.0148571428571422</v>
      </c>
      <c r="R8" s="2">
        <f>(2*M8*N8)/(P8+O8)</f>
        <v>6.6605714285714281</v>
      </c>
      <c r="S8" s="12">
        <v>7</v>
      </c>
      <c r="T8" s="3">
        <f>S8*(O8+P8)/(2*N8)</f>
        <v>0.98790322580645162</v>
      </c>
      <c r="U8" s="3">
        <v>8.9</v>
      </c>
    </row>
    <row r="9" spans="1:21" x14ac:dyDescent="0.25">
      <c r="A9" s="3">
        <v>2</v>
      </c>
      <c r="B9" s="3"/>
      <c r="C9" s="3">
        <v>120</v>
      </c>
      <c r="D9" s="3">
        <v>10</v>
      </c>
      <c r="E9" s="3">
        <v>10</v>
      </c>
      <c r="F9" s="3">
        <v>20</v>
      </c>
      <c r="G9" s="3">
        <v>3</v>
      </c>
      <c r="H9" s="3">
        <v>30</v>
      </c>
      <c r="I9" s="3"/>
      <c r="J9" s="2"/>
      <c r="K9" s="2"/>
      <c r="L9" s="3">
        <v>0.99</v>
      </c>
      <c r="M9" s="3">
        <v>0.94</v>
      </c>
      <c r="N9" s="3">
        <v>600</v>
      </c>
      <c r="O9" s="3">
        <v>30</v>
      </c>
      <c r="P9" s="3">
        <v>100</v>
      </c>
      <c r="Q9" s="3">
        <f>(2*L9*N9)/(O9+P9)</f>
        <v>9.138461538461538</v>
      </c>
      <c r="R9" s="2">
        <f>(2*M9*N9)/(P9+O9)</f>
        <v>8.6769230769230763</v>
      </c>
      <c r="S9" s="12">
        <v>9</v>
      </c>
      <c r="T9" s="3">
        <f t="shared" ref="T9:T10" si="0">S9*(O9+P9)/(2*N9)</f>
        <v>0.97499999999999998</v>
      </c>
      <c r="U9" s="3" t="s">
        <v>96</v>
      </c>
    </row>
    <row r="10" spans="1:21" x14ac:dyDescent="0.25">
      <c r="A10" s="2"/>
      <c r="B10" s="3">
        <v>2</v>
      </c>
      <c r="C10" s="3">
        <f>C9*1000</f>
        <v>120000</v>
      </c>
      <c r="D10" s="3">
        <v>0.98480000000000001</v>
      </c>
      <c r="E10" s="3">
        <v>0.17630000000000001</v>
      </c>
      <c r="F10" s="3">
        <v>0.3639</v>
      </c>
      <c r="G10" s="4">
        <v>3</v>
      </c>
      <c r="H10" s="4">
        <v>65</v>
      </c>
      <c r="I10" s="5">
        <f>(B10*C10*D10)/(G10*H10)</f>
        <v>1212.0615384615385</v>
      </c>
      <c r="J10" s="5">
        <f>E10*I10</f>
        <v>213.68644923076926</v>
      </c>
      <c r="K10" s="5">
        <f>(I10*F10)/D10</f>
        <v>447.87692307692305</v>
      </c>
      <c r="L10" s="3">
        <v>0.99</v>
      </c>
      <c r="M10" s="3">
        <v>0.94</v>
      </c>
      <c r="N10" s="3">
        <v>500</v>
      </c>
      <c r="O10" s="3">
        <v>30</v>
      </c>
      <c r="P10" s="3">
        <v>125</v>
      </c>
      <c r="Q10" s="3">
        <f>(2*L10*N10)/(O10+P10)</f>
        <v>6.387096774193548</v>
      </c>
      <c r="R10" s="2">
        <f>(2*M10*N10)/(P10+O10)</f>
        <v>6.064516129032258</v>
      </c>
      <c r="S10" s="12">
        <v>6</v>
      </c>
      <c r="T10" s="3">
        <f t="shared" si="0"/>
        <v>0.93</v>
      </c>
      <c r="U10" s="3" t="s">
        <v>97</v>
      </c>
    </row>
    <row r="11" spans="1:21" x14ac:dyDescent="0.25">
      <c r="A11" s="3">
        <v>3</v>
      </c>
      <c r="B11" s="3"/>
      <c r="C11" s="12">
        <v>80</v>
      </c>
      <c r="D11" s="12">
        <v>10</v>
      </c>
      <c r="E11" s="12">
        <v>10</v>
      </c>
      <c r="F11" s="12">
        <v>20</v>
      </c>
      <c r="G11" s="12">
        <v>3</v>
      </c>
      <c r="H11" s="12">
        <v>25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3"/>
      <c r="U11" s="2"/>
    </row>
    <row r="12" spans="1:21" x14ac:dyDescent="0.25">
      <c r="A12" s="3"/>
      <c r="B12" s="3">
        <v>2</v>
      </c>
      <c r="C12" s="2">
        <f>C11*1000</f>
        <v>80000</v>
      </c>
      <c r="D12" s="3">
        <v>0.98480000000000001</v>
      </c>
      <c r="E12" s="3">
        <v>0.17630000000000001</v>
      </c>
      <c r="F12" s="3">
        <v>0.3639</v>
      </c>
      <c r="G12" s="4">
        <v>3</v>
      </c>
      <c r="H12" s="4">
        <v>25</v>
      </c>
      <c r="I12" s="5">
        <f>(B12*C12*D12)/(G12*H12)</f>
        <v>2100.9066666666668</v>
      </c>
      <c r="J12" s="5">
        <f>E12*I12</f>
        <v>370.38984533333337</v>
      </c>
      <c r="K12" s="5">
        <f>(I12*F12)/D12</f>
        <v>776.32</v>
      </c>
      <c r="L12" s="2"/>
      <c r="M12" s="2"/>
      <c r="N12" s="2"/>
      <c r="O12" s="2"/>
      <c r="P12" s="2"/>
      <c r="Q12" s="2"/>
      <c r="R12" s="2"/>
      <c r="S12" s="2"/>
      <c r="T12" s="3"/>
      <c r="U12" s="2"/>
    </row>
    <row r="13" spans="1:2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3"/>
      <c r="M13" s="2"/>
      <c r="N13" s="2"/>
      <c r="O13" s="2"/>
      <c r="P13" s="2"/>
      <c r="Q13" s="2"/>
      <c r="R13" s="2"/>
      <c r="S13" s="2"/>
      <c r="T13" s="3"/>
      <c r="U13" s="2"/>
    </row>
    <row r="14" spans="1:21" x14ac:dyDescent="0.25">
      <c r="A14" s="2"/>
      <c r="B14" s="2"/>
      <c r="C14" s="2"/>
      <c r="D14" s="3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3"/>
      <c r="U14" s="2"/>
    </row>
    <row r="15" spans="1:2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3"/>
      <c r="U15" s="2"/>
    </row>
    <row r="16" spans="1:2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3"/>
      <c r="U16" s="2"/>
    </row>
    <row r="17" spans="1:2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3"/>
      <c r="U17" s="2"/>
    </row>
    <row r="18" spans="1:2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3"/>
      <c r="U1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bo truyen xich</vt:lpstr>
      <vt:lpstr>bo truyen dai</vt:lpstr>
      <vt:lpstr>tinh toan ve bieu do</vt:lpstr>
      <vt:lpstr>SUC BEN VL</vt:lpstr>
      <vt:lpstr>co ly thuyet</vt:lpstr>
      <vt:lpstr>tinh ti so truyen thi</vt:lpstr>
      <vt:lpstr>oto1</vt:lpstr>
      <vt:lpstr>tinh ti so truyen oto2</vt:lpstr>
      <vt:lpstr>Gia tri luc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Admin</cp:lastModifiedBy>
  <dcterms:created xsi:type="dcterms:W3CDTF">2018-08-04T14:33:31Z</dcterms:created>
  <dcterms:modified xsi:type="dcterms:W3CDTF">2020-01-10T13:58:28Z</dcterms:modified>
</cp:coreProperties>
</file>